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LAH_DATA_PERITEM" sheetId="1" r:id="rId4"/>
    <sheet name="RUMUSAN_POKOK" sheetId="2" r:id="rId5"/>
    <sheet name="LAPORAN_STUNTING" sheetId="3" r:id="rId6"/>
    <sheet name="SUMBER_PENDAPATAN_DESA" sheetId="4" r:id="rId7"/>
  </sheets>
  <definedNames>
    <definedName name="_xlnm.Print_Area" localSheetId="0">'OLAH_DATA_PERITEM'!$A$1:$M$57</definedName>
    <definedName name="_xlnm.Print_Area" localSheetId="1">'RUMUSAN_POKOK'!$A$1:$L$65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<sst xmlns="http://schemas.openxmlformats.org/spreadsheetml/2006/main" uniqueCount="316">
  <si>
    <t>KOMPONEN INDEKS DESA MEMBANGUN TAHUN 2022</t>
  </si>
  <si>
    <t xml:space="preserve">                                                                                 DESA</t>
  </si>
  <si>
    <t>:</t>
  </si>
  <si>
    <t>BOTODAYAAN</t>
  </si>
  <si>
    <t xml:space="preserve">                                                                                 KECAMATAN</t>
  </si>
  <si>
    <t>RONGKOP</t>
  </si>
  <si>
    <t xml:space="preserve">                                                                                 KABUPATEN</t>
  </si>
  <si>
    <t>KABUPATEN GUNUNG KIDUL</t>
  </si>
  <si>
    <t xml:space="preserve">                                                                                 PROVINSI</t>
  </si>
  <si>
    <t>DI YOGYAKARTA</t>
  </si>
  <si>
    <t xml:space="preserve">                                                                                 STATUS IDM</t>
  </si>
  <si>
    <t xml:space="preserve">                                                                                 NILAI IDM</t>
  </si>
  <si>
    <t>MAJU</t>
  </si>
  <si>
    <t>Dasboard Rekomendasi Di Level Desa Dan Sosial Alami</t>
  </si>
  <si>
    <t>INDEKS KOMPOSIT</t>
  </si>
  <si>
    <t>DIMENSI</t>
  </si>
  <si>
    <t>SKOR</t>
  </si>
  <si>
    <t>NILAI</t>
  </si>
  <si>
    <t>PERANGKAT INDIKATOR</t>
  </si>
  <si>
    <t>INDIKATOR PERITEM</t>
  </si>
  <si>
    <t>EXISTING DARI INDIKATOR UMUM</t>
  </si>
  <si>
    <t>Super Prioritas (0,00% - 50%)</t>
  </si>
  <si>
    <t>Prioritas                   (0,50% - 0,75%)</t>
  </si>
  <si>
    <t>SOSIAL ( IKS )</t>
  </si>
  <si>
    <t>KESEHATAN</t>
  </si>
  <si>
    <t>Pelayanan Kesehatan</t>
  </si>
  <si>
    <t>Jarak ke sarana kesehatan terdekat</t>
  </si>
  <si>
    <t>IKS</t>
  </si>
  <si>
    <t>Ketersediaan Tenaga Kesehatan(bidan,Dokter dan Nakes Lain)</t>
  </si>
  <si>
    <t>Keberdayaan Masyarakat Untuk Kesehatan</t>
  </si>
  <si>
    <t>Askes ke poskesdes, polindes atau posyandu</t>
  </si>
  <si>
    <t>PENDIDIKAN</t>
  </si>
  <si>
    <t>Tingkat Aktivitas Posyandu</t>
  </si>
  <si>
    <t>MODAL SOSIAL</t>
  </si>
  <si>
    <t>Jaminan Kesehatan</t>
  </si>
  <si>
    <t>Tingkat Kepesertaan BPJS</t>
  </si>
  <si>
    <t>PERMUKIMAN</t>
  </si>
  <si>
    <t>Akses Pendidikan Dasar-Menengah</t>
  </si>
  <si>
    <t>Akses Pendidikan Dasar SD/MI &lt; 3 KM</t>
  </si>
  <si>
    <t>Akses Pendidikan SMP/MTs &lt; 6 KM</t>
  </si>
  <si>
    <t>Akses Pendidikan SMA/SMK/MA &lt; 6 KM</t>
  </si>
  <si>
    <t>Akses Pendidikan Non Formal</t>
  </si>
  <si>
    <t>Kegiatan PAUD</t>
  </si>
  <si>
    <t>Kegiatan PKBM/Paket A-B-C</t>
  </si>
  <si>
    <t>Kegiatan Kursus</t>
  </si>
  <si>
    <t>Akses Pengetahuan Masyarakat</t>
  </si>
  <si>
    <t>Taman Bacaan Masyarakat atau Perpusatkaan Desa</t>
  </si>
  <si>
    <t>Solidaritas Sosial</t>
  </si>
  <si>
    <t>Kebiasaan Gotong Royong</t>
  </si>
  <si>
    <t>Keterbukaan Ruang Publik</t>
  </si>
  <si>
    <t>Terdapat Kelompok Olahraga</t>
  </si>
  <si>
    <t>Terdapat Kegiatan Olahraga</t>
  </si>
  <si>
    <t>Toleransi</t>
  </si>
  <si>
    <t>Keragaman Suku/Etnis di Desa</t>
  </si>
  <si>
    <t>Bahasa Sehari-hari Warga Desa</t>
  </si>
  <si>
    <t>Agama Mayoritas Warga Desa</t>
  </si>
  <si>
    <t>Rasa Aman Warga Desa</t>
  </si>
  <si>
    <t>Tersedianya Sarana Pos Kamling di Desa</t>
  </si>
  <si>
    <t>Partisipasi Warga Siskamling</t>
  </si>
  <si>
    <t>Kejadian Perkelahian Massal di desa</t>
  </si>
  <si>
    <t>Kesejahteraan Sosial</t>
  </si>
  <si>
    <t>Terdapat Akses ke Sekolah Luar Biasa</t>
  </si>
  <si>
    <t>Terdapat Penyandang Kesejahteraan Sosial   ( Anjal dan Pengemis)</t>
  </si>
  <si>
    <t>Akses Air Bersih dan Layak Minum</t>
  </si>
  <si>
    <t>Mayoritas Warga Memiliki Sumber Air layak Minum</t>
  </si>
  <si>
    <t>Akses Warga Memiliki Air Mandi dan Mencuci</t>
  </si>
  <si>
    <t>Akses ke Fasilitas Sanitasi</t>
  </si>
  <si>
    <t>Mayoritas Warga Memiliki Jamban</t>
  </si>
  <si>
    <t>Terdapat Tempat Pembuangan Sampah</t>
  </si>
  <si>
    <t>Akses Ke Fasilitas Listrik</t>
  </si>
  <si>
    <t>Jumlah Keluarga yang telah memiliki aliran listrik</t>
  </si>
  <si>
    <t>Akses Fasilitas Informasi dan Komunikasi</t>
  </si>
  <si>
    <t>Warga Memiliki Telepon seluler dan Sinyal Kuat</t>
  </si>
  <si>
    <t>Akses Internet di Kantor Desa</t>
  </si>
  <si>
    <t>Terdapat Akses Internet untuk warga</t>
  </si>
  <si>
    <t>EKONOMI         ( IKE )</t>
  </si>
  <si>
    <t>KERAGAMAN PRODUKSI</t>
  </si>
  <si>
    <t>Keragaman Produksi Masyarakat Desa</t>
  </si>
  <si>
    <t>Terdapat Lebih dari Satu Jenis Kegiatan Ekonomi Penduduk</t>
  </si>
  <si>
    <t>PERDAGANGAN</t>
  </si>
  <si>
    <t>Tersedianya Pusat Perdagangan</t>
  </si>
  <si>
    <t>Akses Penduduk ke Pusat Perdagangan (Pertokoan, Pasar Permanen)</t>
  </si>
  <si>
    <t>Terdapat Pasar Desa</t>
  </si>
  <si>
    <t>AKSES DISTRIBUSI</t>
  </si>
  <si>
    <t>Terdapat Sektor Perdagangan (warung minimarket)</t>
  </si>
  <si>
    <t>AKSES KREDIT</t>
  </si>
  <si>
    <t>Akses Distribusi Logistik</t>
  </si>
  <si>
    <t>Terdapat Kantor Pos dan Jasa Logistik</t>
  </si>
  <si>
    <t>LEMBAGA EKONOMI</t>
  </si>
  <si>
    <t>Akkses Terhadap lembaga Keuangan dan Perkreditan</t>
  </si>
  <si>
    <t>Tersedianya Lembaga Pebankan Umum dan BPR</t>
  </si>
  <si>
    <t>KETERBUKAAN WILAYAH</t>
  </si>
  <si>
    <t>Akses Penduduk ke Kredit</t>
  </si>
  <si>
    <t>IKE</t>
  </si>
  <si>
    <t>Lembaga Ekonomi</t>
  </si>
  <si>
    <t>Tersedianya Lembaga Ekonomi Rakyat (Koperasi)/Bumdes</t>
  </si>
  <si>
    <t>Terdapat Usaha Kedai makanan, Restoran, Hotel dan Penginapan</t>
  </si>
  <si>
    <t>Kualitas Lingkungan</t>
  </si>
  <si>
    <t>Keterbukaan Wilayah</t>
  </si>
  <si>
    <t>Terdapat Moda (Angkutan Umum, Trayek Reguler dan Jam Operasi)</t>
  </si>
  <si>
    <t>Potensi Rawan Bencana</t>
  </si>
  <si>
    <t>Jalan yang Dapat Dilalui oleh Kendaraan Bermotor Roda Empat atau Lebih</t>
  </si>
  <si>
    <t>Tanggap Bencana</t>
  </si>
  <si>
    <t xml:space="preserve">Kualitas Jalan Desa </t>
  </si>
  <si>
    <t>LINGKUNGAN ( IKL )</t>
  </si>
  <si>
    <t>KUALTIAS LINGKUNGAN</t>
  </si>
  <si>
    <t>Pencemaran Air, Tanah dan Udara</t>
  </si>
  <si>
    <t>IKL</t>
  </si>
  <si>
    <t>POTENSI DAN TANGGAP BENCANA</t>
  </si>
  <si>
    <t>Kejadian Bencana Alam (Banjir, Tanah Longsor, Kebakaran Hutan)</t>
  </si>
  <si>
    <t>Upaya/Tindakan terhadap Potensi Bencana Alam</t>
  </si>
  <si>
    <t>RUMUSAN POKOK ANALISA INDEKS DESA MEMBANGUN TAHUN 2022</t>
  </si>
  <si>
    <t>NAMA PROVINSI</t>
  </si>
  <si>
    <t>SKOR IDM SAAT INI</t>
  </si>
  <si>
    <t>NAMA KABUPATEN</t>
  </si>
  <si>
    <t>STATUS IDM</t>
  </si>
  <si>
    <t>NAMA KECAMATAN</t>
  </si>
  <si>
    <t>TARGET STATUS</t>
  </si>
  <si>
    <t>NAMA DESA</t>
  </si>
  <si>
    <t>SKOR IDM MINIMAL</t>
  </si>
  <si>
    <t>PENAMBAHAN YANG DIBUTUHKAN</t>
  </si>
  <si>
    <t>RUMUSAN POKOK ANALISA IDM</t>
  </si>
  <si>
    <t>NO</t>
  </si>
  <si>
    <t>INDIKATOR IDM</t>
  </si>
  <si>
    <t>KETERANGAN</t>
  </si>
  <si>
    <t>KEGIATAN YANG DAPAT DILAKUKAN</t>
  </si>
  <si>
    <t>+NILAI</t>
  </si>
  <si>
    <t>YANG DAPAT MELAKSANAKAN KEGIATAN</t>
  </si>
  <si>
    <t>PUSAT</t>
  </si>
  <si>
    <t>PROV</t>
  </si>
  <si>
    <t>KAB</t>
  </si>
  <si>
    <t>DESA</t>
  </si>
  <si>
    <t>CSR</t>
  </si>
  <si>
    <t>LAINNYA</t>
  </si>
  <si>
    <t>Skor Akses Sarkes</t>
  </si>
  <si>
    <t>Dinkes, PU</t>
  </si>
  <si>
    <t>Skor Dokter</t>
  </si>
  <si>
    <t>DINKES</t>
  </si>
  <si>
    <t xml:space="preserve">Skor Bidan </t>
  </si>
  <si>
    <t>Skor Nakes Lain</t>
  </si>
  <si>
    <t>Skor Tingkat Kepesertaan BPJS</t>
  </si>
  <si>
    <t>BPJS</t>
  </si>
  <si>
    <t>Skor Akses Poskesdes</t>
  </si>
  <si>
    <t>Skor Aktivitas Posyandu</t>
  </si>
  <si>
    <t>DPMD</t>
  </si>
  <si>
    <t>DPMD, DINKES</t>
  </si>
  <si>
    <t>DD</t>
  </si>
  <si>
    <t>Skor Akses SD/MI</t>
  </si>
  <si>
    <t>DISDIK, PU</t>
  </si>
  <si>
    <t>Skor Akses SMP/MTS</t>
  </si>
  <si>
    <t>Skor Akses SMA/SMK</t>
  </si>
  <si>
    <t>DISDIK</t>
  </si>
  <si>
    <t>PU</t>
  </si>
  <si>
    <t>Skor Ketersediaan PAUD</t>
  </si>
  <si>
    <t>Skor Ketersediaan PKBM/ Paket ABC</t>
  </si>
  <si>
    <t>Skor Ketersediaan Kursus</t>
  </si>
  <si>
    <t>Swasta, Perorangan</t>
  </si>
  <si>
    <t>Skor Ketersediaan Taman Baca/ Perpus Desa</t>
  </si>
  <si>
    <t>Kemenperpus Arsip</t>
  </si>
  <si>
    <t>Dinas Perpus</t>
  </si>
  <si>
    <t>Skor Kebiasaan Goryong</t>
  </si>
  <si>
    <t>Desa</t>
  </si>
  <si>
    <t>Skor Frekuensi Goryong</t>
  </si>
  <si>
    <t>Skor Ketersediaan Ruang Publik</t>
  </si>
  <si>
    <t>Skor Kelompok OR</t>
  </si>
  <si>
    <t>DISPORA</t>
  </si>
  <si>
    <t>Karang Taruna</t>
  </si>
  <si>
    <t>Skor Kegiatan OR</t>
  </si>
  <si>
    <t>Kemepora/ Kemendes</t>
  </si>
  <si>
    <t>Perorangan</t>
  </si>
  <si>
    <t>Skor Keragaman Agama</t>
  </si>
  <si>
    <t>Skor Keragaman Bahasa</t>
  </si>
  <si>
    <t>Skor Keragaman Komunikasi</t>
  </si>
  <si>
    <t>Skor Poskamling</t>
  </si>
  <si>
    <t>Skor Siskamling</t>
  </si>
  <si>
    <t>Skor Konflik</t>
  </si>
  <si>
    <t>Kesbangpol</t>
  </si>
  <si>
    <t>Skor PMKS</t>
  </si>
  <si>
    <t>Dinsos</t>
  </si>
  <si>
    <t>Skor SLB</t>
  </si>
  <si>
    <t>DIKNAS</t>
  </si>
  <si>
    <t>Skor Akses Listrik</t>
  </si>
  <si>
    <t>ESDM</t>
  </si>
  <si>
    <t>Skor Sinyal Tlp</t>
  </si>
  <si>
    <t>Kominfo</t>
  </si>
  <si>
    <t>Diskominfo</t>
  </si>
  <si>
    <t>Operator Selular</t>
  </si>
  <si>
    <t>Skor Internet Kantor Desa</t>
  </si>
  <si>
    <t>Kominfo/ Kemendes</t>
  </si>
  <si>
    <t>Skor Akses Internet Warga</t>
  </si>
  <si>
    <t>Skor Akses Jamban</t>
  </si>
  <si>
    <t>DINSOS,DINKES</t>
  </si>
  <si>
    <t>Skor Sampah</t>
  </si>
  <si>
    <t>DLH</t>
  </si>
  <si>
    <t>DLH, DKPP</t>
  </si>
  <si>
    <t>Skor Air Minum</t>
  </si>
  <si>
    <t>PAMSIMAS, PU</t>
  </si>
  <si>
    <t>PDAM</t>
  </si>
  <si>
    <t>Skor Air Mandi &amp; Cuci</t>
  </si>
  <si>
    <t>IKS 2022</t>
  </si>
  <si>
    <t>Skor Keragaman Produksi</t>
  </si>
  <si>
    <t>DISPERINDAKOP UKM</t>
  </si>
  <si>
    <t>Skor Pertokoan</t>
  </si>
  <si>
    <t>Perorangan, Swasta</t>
  </si>
  <si>
    <t>Skor Pasar</t>
  </si>
  <si>
    <t>Kemenperind, Kemendes</t>
  </si>
  <si>
    <t>Skor Toko/ Warung Kelontong</t>
  </si>
  <si>
    <t>Skor Kedai &amp; Penginapan</t>
  </si>
  <si>
    <t>Dinas Pariwisata</t>
  </si>
  <si>
    <t>Skor POS &amp; Logistik</t>
  </si>
  <si>
    <t>BUMDES</t>
  </si>
  <si>
    <t>Kantor Pos, Swasta</t>
  </si>
  <si>
    <t>Skor Bank &amp; BPR</t>
  </si>
  <si>
    <t>Perbankan</t>
  </si>
  <si>
    <t>Skor Kredit</t>
  </si>
  <si>
    <t>BUMDES/ Koperasi</t>
  </si>
  <si>
    <t>Bank, Swasta</t>
  </si>
  <si>
    <t>Skor Lembaga Ekonomi</t>
  </si>
  <si>
    <t>Skor Moda Transportasi Umum</t>
  </si>
  <si>
    <t>DISHUB</t>
  </si>
  <si>
    <t>Skor Keterbukaan Wilayah</t>
  </si>
  <si>
    <t>Skor Kualitas Jalan</t>
  </si>
  <si>
    <t>IKE 2022</t>
  </si>
  <si>
    <t>Skor Kualitas Lingkungan</t>
  </si>
  <si>
    <t>DLH, DINKES</t>
  </si>
  <si>
    <t>Skor Rawan Bencana</t>
  </si>
  <si>
    <t>DISHUT/KPH, BPDB</t>
  </si>
  <si>
    <t>BPBD</t>
  </si>
  <si>
    <t>Skor Tanggap Bencana</t>
  </si>
  <si>
    <t>BNPB, Kemendes</t>
  </si>
  <si>
    <t>DISHUT/KPH, BPDB, DINSOS</t>
  </si>
  <si>
    <t>DPBD, DINSOS</t>
  </si>
  <si>
    <t>IKL 2022</t>
  </si>
  <si>
    <t>IDM 2022</t>
  </si>
  <si>
    <t>STATUS IDM 2022</t>
  </si>
  <si>
    <t>Maju</t>
  </si>
  <si>
    <t>LAPORAN KONVERGENSI PENCEGAHAN STUNTING TINGKAT DESA
TERHADAP SASARAN RUMAH TANGGA 1.000 HPK TAHUN 2022</t>
  </si>
  <si>
    <t>PROVINSI</t>
  </si>
  <si>
    <t>KABUPATEN</t>
  </si>
  <si>
    <t>KECAMATAN</t>
  </si>
  <si>
    <t>TABEL 1. JUMLAH SASARAN 1.000 HPK (IBU HAMIL DAN ANAK 0-23 TAHUN)</t>
  </si>
  <si>
    <t>SASARAN</t>
  </si>
  <si>
    <t>JUMLAH TOTAL
RUMAH TANGGA 1.000 HPK</t>
  </si>
  <si>
    <t>IBU HAMIL</t>
  </si>
  <si>
    <t>ANAK 0-23 BULAN</t>
  </si>
  <si>
    <t>TOTAL</t>
  </si>
  <si>
    <t>KEK/ RESTI</t>
  </si>
  <si>
    <r>
      <t xml:space="preserve">GIZI KURANG/ GIZI BURUK/ </t>
    </r>
    <r>
      <rPr>
        <rFont val="Calibri"/>
        <b val="true"/>
        <i val="true"/>
        <strike val="false"/>
        <color rgb="FF000000"/>
        <sz val="11"/>
        <u val="none"/>
      </rPr>
      <t xml:space="preserve">STUNTING</t>
    </r>
  </si>
  <si>
    <t>JUMLAH</t>
  </si>
  <si>
    <r>
      <t xml:space="preserve">TABEL 2. HASIL PENGUKURAN TIKAR PERTUMBUHAN (DETEKSI DINI </t>
    </r>
    <r>
      <rPr>
        <rFont val="Calibri"/>
        <b val="true"/>
        <i val="true"/>
        <strike val="false"/>
        <color rgb="FF000000"/>
        <sz val="11"/>
        <u val="none"/>
      </rPr>
      <t xml:space="preserve">STUNTING</t>
    </r>
    <r>
      <rPr>
        <rFont val="Calibri"/>
        <b val="true"/>
        <i val="false"/>
        <strike val="false"/>
        <color rgb="FF000000"/>
        <sz val="11"/>
        <u val="none"/>
      </rPr>
      <t xml:space="preserve">)</t>
    </r>
  </si>
  <si>
    <t>JUMLAH TOTAL
ANAK USIA 0-23 BULAN</t>
  </si>
  <si>
    <t>HIJAU
(NORMAL)</t>
  </si>
  <si>
    <r>
      <t xml:space="preserve">KUNING
(RESIKO </t>
    </r>
    <r>
      <rPr>
        <rFont val="Calibri"/>
        <b val="false"/>
        <i val="true"/>
        <strike val="false"/>
        <color rgb="FF000000"/>
        <sz val="11"/>
        <u val="none"/>
      </rPr>
      <t xml:space="preserve">STUNTING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</si>
  <si>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MERAH
(TERINDIKASI </t>
    </r>
    <r>
      <rPr>
        <rFont val="Calibri"/>
        <b val="false"/>
        <i val="true"/>
        <strike val="false"/>
        <color rgb="FF000000"/>
        <sz val="11"/>
        <u val="none"/>
      </rPr>
      <t xml:space="preserve">STUNTING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</si>
  <si>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TABEL 3. KELENGKAPAN KONVERGENSI PAKET LAYANAN PENCEGAHAN </t>
    </r>
    <r>
      <rPr>
        <rFont val="Calibri"/>
        <b val="true"/>
        <i val="true"/>
        <strike val="false"/>
        <color rgb="FF000000"/>
        <sz val="11"/>
        <u val="none"/>
      </rPr>
      <t xml:space="preserve">STUNTING </t>
    </r>
    <r>
      <rPr>
        <rFont val="Calibri"/>
        <b val="true"/>
        <i val="false"/>
        <strike val="false"/>
        <color rgb="FF000000"/>
        <sz val="11"/>
        <u val="none"/>
      </rPr>
      <t xml:space="preserve">BAGI 1.000 HPK</t>
    </r>
  </si>
  <si>
    <t>INDIKATOR</t>
  </si>
  <si>
    <t>%</t>
  </si>
  <si>
    <t>PERIKSA 4 KALI SELAMA KEHAMILAN</t>
  </si>
  <si>
    <t>MENDAPAT DAN MEMINUM PIL SE SELAMA 90 HARI</t>
  </si>
  <si>
    <t>IBU BERSALIN MENDAPAT LAYANAN PEMERIKSAAN NIFAS 3 KALI</t>
  </si>
  <si>
    <t>MENGIKUTI KONSELING GIZI/ KELAS IBU MINIMAL 4 KALI</t>
  </si>
  <si>
    <t>IBU HAMIL (KEK/ RESTI) MENDAPAT KUNJUNGAN RUMAH BULANAN</t>
  </si>
  <si>
    <t>RUMAH TANGGA IBU HAMIL MEMILIKI AKSES AIR MINUM AMAN</t>
  </si>
  <si>
    <t>RUMAH TANGGA IBU HAMIL MEMILIKI JAMBAN LAYAK</t>
  </si>
  <si>
    <t>MEMILIKI JAMINAN KESEHATAN</t>
  </si>
  <si>
    <t>ANAK USIA 0-23 BULAN
(0-2 TAHUN)</t>
  </si>
  <si>
    <t>ANAK USIA &lt;12 BULAN MENDAPAT IMUNISASI DASAR LENGKAP</t>
  </si>
  <si>
    <t>DITIMBANG BERAT BADAN RUTIN SETIAP BULAN</t>
  </si>
  <si>
    <t>DIUKUR PANJANG/ TINGGI BADAN 2 KALI DALAM SETAHUN</t>
  </si>
  <si>
    <t>ORANG TUA/ PENGASUH MENGIKUTI KONSELING GIZI BULANAN</t>
  </si>
  <si>
    <t>LAKI-LAKI</t>
  </si>
  <si>
    <t>PEREMPUAN</t>
  </si>
  <si>
    <t>JML</t>
  </si>
  <si>
    <r>
      <t xml:space="preserve">KUNJUNGAN RUMAH BAGI ANAK GIZI BURUK/ KURANG/ </t>
    </r>
    <r>
      <rPr>
        <rFont val="Calibri"/>
        <b val="false"/>
        <i val="true"/>
        <strike val="false"/>
        <color rgb="FF000000"/>
        <sz val="11"/>
        <u val="none"/>
      </rPr>
      <t xml:space="preserve">STUNTING</t>
    </r>
  </si>
  <si>
    <t>RUMAH TANGGA ANAK 0-2 TH MEMILIKI AKSES AIR MINUM AMAN</t>
  </si>
  <si>
    <t>RUMAH TANGGA ANAK 0-2 TH MEMILIKI JAMBAN LAYAK</t>
  </si>
  <si>
    <t>ANAK 0-2 TH JAMINAN KESEHATAN</t>
  </si>
  <si>
    <t>ANAK 0-2 TH BULAN AKTA LAHIR</t>
  </si>
  <si>
    <t>ORANG TUA/ PENGASUH MENGIKUTI PARENTING BULANAN (PAUD)</t>
  </si>
  <si>
    <t xml:space="preserve">ANAK &gt;2-6 TAHUN </t>
  </si>
  <si>
    <t>ANAK &gt;2-6 TAHUN AKTIF DALAM KEGIATAN PAUD MINIMAL 80%</t>
  </si>
  <si>
    <t>TABEL 4. TINGKAT KONVERGENSI DESA</t>
  </si>
  <si>
    <t>JUMLAH INDIKATOR</t>
  </si>
  <si>
    <t>TINGKAT KONVERGENSI</t>
  </si>
  <si>
    <t>YANG DITERIMA</t>
  </si>
  <si>
    <t>SEHARUSNYA DITERIMA</t>
  </si>
  <si>
    <r>
      <t xml:space="preserve">TABEL 5. PENGGUNAAN DANA DESA DALAM PENCEGAHAN </t>
    </r>
    <r>
      <rPr>
        <rFont val="Calibri"/>
        <b val="true"/>
        <i val="true"/>
        <strike val="false"/>
        <color rgb="FF000000"/>
        <sz val="11"/>
        <u val="none"/>
      </rPr>
      <t xml:space="preserve">STUNTING</t>
    </r>
  </si>
  <si>
    <t>BIDANG/ KEGIATAN</t>
  </si>
  <si>
    <t>TOTAL ALOKASI DANA</t>
  </si>
  <si>
    <r>
      <t xml:space="preserve">KEGIATAN KHUSUS PENCEGAHAN </t>
    </r>
    <r>
      <rPr>
        <rFont val="Calibri"/>
        <b val="true"/>
        <i val="true"/>
        <strike val="false"/>
        <color rgb="FF000000"/>
        <sz val="11"/>
        <u val="none"/>
      </rPr>
      <t xml:space="preserve">STUNTING</t>
    </r>
  </si>
  <si>
    <t>ALOKASI DANA 2019</t>
  </si>
  <si>
    <t>% (PERSEN)</t>
  </si>
  <si>
    <t>ALOKASI DANA 2020</t>
  </si>
  <si>
    <t>BIDANG PEMBANGUNAN DESA</t>
  </si>
  <si>
    <t>(Lihat Di APBDes)</t>
  </si>
  <si>
    <t>(lihat di APBDes dengan Kata Kunci 20/2018</t>
  </si>
  <si>
    <t>BIDANG PEMBERDAYAAN MASYARAKAT</t>
  </si>
  <si>
    <r>
      <t xml:space="preserve">TABEL 6. PENGGUNAAN APBDes DALAM PENCEGAHAN </t>
    </r>
    <r>
      <rPr>
        <rFont val="Calibri"/>
        <b val="true"/>
        <i val="true"/>
        <strike val="false"/>
        <color rgb="FF000000"/>
        <sz val="11"/>
        <u val="none"/>
      </rPr>
      <t xml:space="preserve">STUNTING</t>
    </r>
  </si>
  <si>
    <t>xxx</t>
  </si>
  <si>
    <t>v</t>
  </si>
  <si>
    <t>SUMBER PENDAPATAN DESA</t>
  </si>
  <si>
    <t xml:space="preserve">PROVINSI : </t>
  </si>
  <si>
    <t xml:space="preserve">KABUPATEN : </t>
  </si>
  <si>
    <t xml:space="preserve">KECAMATAN : </t>
  </si>
  <si>
    <t xml:space="preserve">DESA : </t>
  </si>
  <si>
    <t xml:space="preserve">SUMBER PENDAPATAN </t>
  </si>
  <si>
    <t>TAHUN 2021</t>
  </si>
  <si>
    <t>TAHUN 2022</t>
  </si>
  <si>
    <t xml:space="preserve">PENDAPATAN ASLI DESA </t>
  </si>
  <si>
    <t xml:space="preserve">DANA DESA (DD) </t>
  </si>
  <si>
    <t xml:space="preserve">BAGI HASIL PAJAK DAN RETRIBUSI DAERAH </t>
  </si>
  <si>
    <t xml:space="preserve">ALOKASI DANA DESA </t>
  </si>
  <si>
    <t xml:space="preserve">BANTUAN PROVINSI </t>
  </si>
  <si>
    <t xml:space="preserve">BANTUAN KABUPATEN/KOTA </t>
  </si>
  <si>
    <t xml:space="preserve">LAIN LAIN </t>
  </si>
  <si>
    <t xml:space="preserve">JUMLAH APBdes </t>
  </si>
</sst>
</file>

<file path=xl/styles.xml><?xml version="1.0" encoding="utf-8"?>
<styleSheet xmlns="http://schemas.openxmlformats.org/spreadsheetml/2006/main" xml:space="preserve">
  <numFmts count="2">
    <numFmt numFmtId="164" formatCode="0.0000"/>
    <numFmt numFmtId="165" formatCode="_-* #,##0_-;\-* #,##0_-;_-* &quot;-&quot;_-;_-@_-"/>
  </numFmts>
  <fonts count="1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44749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E598"/>
        <bgColor rgb="FFFFFFFF"/>
      </patternFill>
    </fill>
    <fill>
      <patternFill patternType="solid">
        <fgColor rgb="FFA9CD9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9CC2E5"/>
        <bgColor rgb="FFFFFFFF"/>
      </patternFill>
    </fill>
    <fill>
      <patternFill patternType="solid">
        <fgColor rgb="FFFF5050"/>
        <bgColor rgb="FFFFFFFF"/>
      </patternFill>
    </fill>
    <fill>
      <patternFill patternType="solid">
        <fgColor rgb="FFFFFF99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164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164" fillId="0" borderId="1" applyFont="1" applyNumberFormat="1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5" numFmtId="2" fillId="0" borderId="1" applyFont="1" applyNumberFormat="1" applyFill="0" applyBorder="1" applyAlignment="1">
      <alignment horizontal="general" vertical="center" textRotation="0" wrapText="false" shrinkToFit="false"/>
    </xf>
    <xf xfId="0" fontId="6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false" shrinkToFit="false"/>
    </xf>
    <xf xfId="0" fontId="7" numFmtId="164" fillId="0" borderId="1" applyFont="1" applyNumberFormat="1" applyFill="0" applyBorder="1" applyAlignment="1">
      <alignment horizontal="center" vertical="center" textRotation="0" wrapText="false" shrinkToFit="false"/>
    </xf>
    <xf xfId="0" fontId="4" numFmtId="2" fillId="0" borderId="1" applyFont="1" applyNumberFormat="1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2" fillId="0" borderId="1" applyFont="1" applyNumberFormat="1" applyFill="0" applyBorder="1" applyAlignment="1">
      <alignment horizontal="center" vertical="center" textRotation="0" wrapText="false" shrinkToFit="false"/>
    </xf>
    <xf xfId="0" fontId="8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true" shrinkToFit="false"/>
    </xf>
    <xf xfId="0" fontId="8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2" fillId="0" borderId="4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165" fillId="0" borderId="1" applyFont="1" applyNumberFormat="1" applyFill="0" applyBorder="1" applyAlignment="1">
      <alignment horizontal="right" vertical="bottom" textRotation="0" wrapText="false" shrinkToFit="false"/>
    </xf>
    <xf xfId="0" fontId="1" numFmtId="165" fillId="4" borderId="1" applyFont="1" applyNumberFormat="1" applyFill="1" applyBorder="1" applyAlignment="0">
      <alignment horizontal="general" vertical="bottom" textRotation="0" wrapText="false" shrinkToFit="false"/>
    </xf>
    <xf xfId="0" fontId="0" numFmtId="1" fillId="0" borderId="1" applyFont="0" applyNumberFormat="1" applyFill="0" applyBorder="1" applyAlignment="1">
      <alignment horizontal="center" vertical="bottom" textRotation="0" wrapText="false" shrinkToFit="false"/>
    </xf>
    <xf xfId="0" fontId="1" numFmtId="1" fillId="0" borderId="1" applyFont="1" applyNumberFormat="1" applyFill="0" applyBorder="1" applyAlignment="1">
      <alignment horizontal="center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0" numFmtId="1" fillId="0" borderId="1" applyFont="0" applyNumberFormat="1" applyFill="0" applyBorder="1" applyAlignment="1">
      <alignment horizontal="center" vertical="center" textRotation="0" wrapText="false" shrinkToFit="false"/>
    </xf>
    <xf xfId="0" fontId="0" numFmtId="1" fillId="0" borderId="4" applyFont="0" applyNumberFormat="1" applyFill="0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0" numFmtId="0" fillId="5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1" applyFont="1" applyNumberFormat="0" applyFill="0" applyBorder="1" applyAlignment="1">
      <alignment horizontal="center" vertical="center" textRotation="0" wrapText="true" shrinkToFit="false"/>
    </xf>
    <xf xfId="0" fontId="11" numFmtId="0" fillId="0" borderId="1" applyFont="1" applyNumberFormat="0" applyFill="0" applyBorder="1" applyAlignment="1">
      <alignment horizontal="center" vertical="center" textRotation="0" wrapText="true" shrinkToFit="false"/>
    </xf>
    <xf xfId="0" fontId="10" numFmtId="164" fillId="6" borderId="1" applyFont="1" applyNumberFormat="1" applyFill="1" applyBorder="1" applyAlignment="1">
      <alignment horizontal="center" vertical="center" textRotation="0" wrapText="true" shrinkToFit="false"/>
    </xf>
    <xf xfId="0" fontId="10" numFmtId="0" fillId="6" borderId="1" applyFont="1" applyNumberFormat="0" applyFill="1" applyBorder="1" applyAlignment="1">
      <alignment horizontal="general" vertical="center" textRotation="0" wrapText="true" shrinkToFit="false"/>
    </xf>
    <xf xfId="0" fontId="11" numFmtId="0" fillId="0" borderId="0" applyFont="1" applyNumberFormat="0" applyFill="0" applyBorder="0" applyAlignment="1">
      <alignment horizontal="center" vertical="top" textRotation="0" wrapText="true" shrinkToFit="false"/>
    </xf>
    <xf xfId="0" fontId="11" numFmtId="0" fillId="0" borderId="0" applyFont="1" applyNumberFormat="0" applyFill="0" applyBorder="0" applyAlignment="1">
      <alignment horizontal="general" vertical="top" textRotation="0" wrapText="false" shrinkToFit="false"/>
    </xf>
    <xf xfId="0" fontId="10" numFmtId="0" fillId="0" borderId="0" applyFont="1" applyNumberFormat="0" applyFill="0" applyBorder="0" applyAlignment="1">
      <alignment horizontal="left" vertical="center" textRotation="0" wrapText="true" shrinkToFit="false"/>
    </xf>
    <xf xfId="0" fontId="10" numFmtId="0" fillId="6" borderId="1" applyFont="1" applyNumberFormat="0" applyFill="1" applyBorder="1" applyAlignment="1">
      <alignment horizontal="left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center" textRotation="0" wrapText="false" shrinkToFit="false"/>
    </xf>
    <xf xfId="0" fontId="10" numFmtId="0" fillId="6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1" applyFont="1" applyNumberFormat="0" applyFill="0" applyBorder="1" applyAlignment="1">
      <alignment horizontal="general" vertical="center" textRotation="0" wrapText="true" shrinkToFit="false"/>
    </xf>
    <xf xfId="0" fontId="11" numFmtId="0" fillId="7" borderId="1" applyFont="1" applyNumberFormat="0" applyFill="1" applyBorder="1" applyAlignment="1">
      <alignment horizontal="general" vertical="center" textRotation="0" wrapText="true" shrinkToFit="false"/>
    </xf>
    <xf xfId="0" fontId="11" numFmtId="0" fillId="0" borderId="5" applyFont="1" applyNumberFormat="0" applyFill="0" applyBorder="1" applyAlignment="1">
      <alignment horizontal="general" vertical="center" textRotation="0" wrapText="true" shrinkToFit="false"/>
    </xf>
    <xf xfId="0" fontId="11" numFmtId="0" fillId="0" borderId="0" applyFont="1" applyNumberFormat="0" applyFill="0" applyBorder="0" applyAlignment="1">
      <alignment horizontal="general" vertical="center" textRotation="0" wrapText="true" shrinkToFit="false"/>
    </xf>
    <xf xfId="0" fontId="1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6" applyFont="1" applyNumberFormat="0" applyFill="0" applyBorder="1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0" fillId="8" borderId="1" applyFont="1" applyNumberFormat="0" applyFill="1" applyBorder="1" applyAlignment="1">
      <alignment horizontal="left" vertical="top" textRotation="0" wrapText="false" shrinkToFit="false"/>
    </xf>
    <xf xfId="0" fontId="7" numFmtId="0" fillId="9" borderId="1" applyFont="1" applyNumberFormat="0" applyFill="1" applyBorder="1" applyAlignment="1">
      <alignment horizontal="left" vertical="center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7" numFmtId="0" fillId="10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>
      <alignment horizontal="center" vertical="center" textRotation="0" wrapText="false" shrinkToFit="false"/>
    </xf>
    <xf xfId="0" fontId="10" numFmtId="0" fillId="0" borderId="7" applyFont="1" applyNumberFormat="0" applyFill="0" applyBorder="1" applyAlignment="1">
      <alignment horizontal="center" vertical="center" textRotation="0" wrapText="false" shrinkToFit="false"/>
    </xf>
    <xf xfId="0" fontId="11" numFmtId="0" fillId="6" borderId="4" applyFont="1" applyNumberFormat="0" applyFill="1" applyBorder="1" applyAlignment="1">
      <alignment horizontal="center" vertical="center" textRotation="0" wrapText="true" shrinkToFit="false"/>
    </xf>
    <xf xfId="0" fontId="11" numFmtId="0" fillId="6" borderId="8" applyFont="1" applyNumberFormat="0" applyFill="1" applyBorder="1" applyAlignment="1">
      <alignment horizontal="center" vertical="center" textRotation="0" wrapText="true" shrinkToFit="false"/>
    </xf>
    <xf xfId="0" fontId="11" numFmtId="0" fillId="6" borderId="9" applyFont="1" applyNumberFormat="0" applyFill="1" applyBorder="1" applyAlignment="1">
      <alignment horizontal="center" vertical="center" textRotation="0" wrapText="true" shrinkToFit="false"/>
    </xf>
    <xf xfId="0" fontId="10" numFmtId="164" fillId="6" borderId="1" applyFont="1" applyNumberFormat="1" applyFill="1" applyBorder="1" applyAlignment="1">
      <alignment horizontal="center" vertical="center" textRotation="0" wrapText="false" shrinkToFit="false"/>
    </xf>
    <xf xfId="0" fontId="10" numFmtId="165" fillId="6" borderId="1" applyFont="1" applyNumberFormat="1" applyFill="1" applyBorder="1" applyAlignment="1">
      <alignment horizontal="center" vertical="center" textRotation="0" wrapText="false" shrinkToFit="false"/>
    </xf>
    <xf xfId="0" fontId="10" numFmtId="0" fillId="4" borderId="1" applyFont="1" applyNumberFormat="0" applyFill="1" applyBorder="1" applyAlignment="1">
      <alignment horizontal="center" vertical="center" textRotation="0" wrapText="false" shrinkToFit="false"/>
    </xf>
    <xf xfId="0" fontId="10" numFmtId="164" fillId="4" borderId="1" applyFont="1" applyNumberFormat="1" applyFill="1" applyBorder="1" applyAlignment="1">
      <alignment horizontal="center" vertical="center" textRotation="0" wrapText="false" shrinkToFit="false"/>
    </xf>
    <xf xfId="0" fontId="7" numFmtId="0" fillId="5" borderId="4" applyFont="1" applyNumberFormat="0" applyFill="1" applyBorder="1" applyAlignment="1">
      <alignment horizontal="center" vertical="center" textRotation="0" wrapText="true" shrinkToFit="false"/>
    </xf>
    <xf xfId="0" fontId="7" numFmtId="0" fillId="5" borderId="8" applyFont="1" applyNumberFormat="0" applyFill="1" applyBorder="1" applyAlignment="1">
      <alignment horizontal="center" vertical="center" textRotation="0" wrapText="true" shrinkToFit="false"/>
    </xf>
    <xf xfId="0" fontId="7" numFmtId="0" fillId="5" borderId="9" applyFont="1" applyNumberFormat="0" applyFill="1" applyBorder="1" applyAlignment="1">
      <alignment horizontal="center" vertical="center" textRotation="0" wrapText="true" shrinkToFit="false"/>
    </xf>
    <xf xfId="0" fontId="10" numFmtId="0" fillId="5" borderId="1" applyFont="1" applyNumberFormat="0" applyFill="1" applyBorder="1" applyAlignment="1">
      <alignment horizontal="center" vertical="center" textRotation="0" wrapText="true" shrinkToFit="false"/>
    </xf>
    <xf xfId="0" fontId="10" quotePrefix="1" numFmtId="0" fillId="5" borderId="1" applyFont="1" applyNumberFormat="0" applyFill="1" applyBorder="1" applyAlignment="1">
      <alignment horizontal="center" vertical="center" textRotation="0" wrapText="true" shrinkToFit="false"/>
    </xf>
    <xf xfId="0" fontId="10" numFmtId="0" fillId="5" borderId="4" applyFont="1" applyNumberFormat="0" applyFill="1" applyBorder="1" applyAlignment="1">
      <alignment horizontal="center" vertical="center" textRotation="0" wrapText="true" shrinkToFit="false"/>
    </xf>
    <xf xfId="0" fontId="10" numFmtId="0" fillId="5" borderId="8" applyFont="1" applyNumberFormat="0" applyFill="1" applyBorder="1" applyAlignment="1">
      <alignment horizontal="center" vertical="center" textRotation="0" wrapText="true" shrinkToFit="false"/>
    </xf>
    <xf xfId="0" fontId="10" numFmtId="0" fillId="5" borderId="9" applyFont="1" applyNumberFormat="0" applyFill="1" applyBorder="1" applyAlignment="1">
      <alignment horizontal="center" vertical="center" textRotation="0" wrapText="true" shrinkToFit="false"/>
    </xf>
    <xf xfId="0" fontId="0" numFmtId="1" fillId="0" borderId="4" applyFont="0" applyNumberFormat="1" applyFill="0" applyBorder="1" applyAlignment="1">
      <alignment horizontal="center" vertical="bottom" textRotation="0" wrapText="false" shrinkToFit="false"/>
    </xf>
    <xf xfId="0" fontId="0" numFmtId="1" fillId="0" borderId="8" applyFont="0" applyNumberFormat="1" applyFill="0" applyBorder="1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0" numFmtId="0" fillId="11" borderId="1" applyFont="0" applyNumberFormat="0" applyFill="1" applyBorder="1" applyAlignment="1">
      <alignment horizontal="center" vertical="center" textRotation="0" wrapText="true" shrinkToFit="false"/>
    </xf>
    <xf xfId="0" fontId="0" numFmtId="1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bottom" textRotation="0" wrapText="false" shrinkToFit="false"/>
    </xf>
    <xf xfId="0" fontId="1" numFmtId="0" fillId="2" borderId="8" applyFont="1" applyNumberFormat="0" applyFill="1" applyBorder="1" applyAlignment="1">
      <alignment horizontal="center" vertical="bottom" textRotation="0" wrapText="false" shrinkToFit="false"/>
    </xf>
    <xf xfId="0" fontId="1" numFmtId="0" fillId="2" borderId="9" applyFont="1" applyNumberFormat="0" applyFill="1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center" textRotation="0" wrapText="false" shrinkToFit="false"/>
    </xf>
    <xf xfId="0" fontId="1" numFmtId="0" fillId="0" borderId="9" applyFont="1" applyNumberFormat="0" applyFill="0" applyBorder="1" applyAlignment="1">
      <alignment horizontal="center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0" borderId="2" applyFont="1" applyNumberFormat="0" applyFill="0" applyBorder="1" applyAlignment="1">
      <alignment horizontal="center" vertical="center" textRotation="0" wrapText="false" shrinkToFit="false"/>
    </xf>
    <xf xfId="0" fontId="1" numFmtId="0" fillId="0" borderId="12" applyFont="1" applyNumberFormat="0" applyFill="0" applyBorder="1" applyAlignment="1">
      <alignment horizontal="center" vertical="center" textRotation="0" wrapText="false" shrinkToFit="false"/>
    </xf>
    <xf xfId="0" fontId="1" numFmtId="0" fillId="0" borderId="13" applyFont="1" applyNumberFormat="0" applyFill="0" applyBorder="1" applyAlignment="1">
      <alignment horizontal="center" vertical="center" textRotation="0" wrapText="false" shrinkToFit="false"/>
    </xf>
    <xf xfId="0" fontId="1" numFmtId="0" fillId="0" borderId="10" applyFont="1" applyNumberFormat="0" applyFill="0" applyBorder="1" applyAlignment="1">
      <alignment horizontal="center" vertical="center" textRotation="0" wrapText="false" shrinkToFit="false"/>
    </xf>
    <xf xfId="0" fontId="1" numFmtId="0" fillId="0" borderId="14" applyFont="1" applyNumberFormat="0" applyFill="0" applyBorder="1" applyAlignment="1">
      <alignment horizontal="center" vertical="center" textRotation="0" wrapText="false" shrinkToFit="false"/>
    </xf>
    <xf xfId="0" fontId="1" numFmtId="0" fillId="0" borderId="6" applyFont="1" applyNumberFormat="0" applyFill="0" applyBorder="1" applyAlignment="1">
      <alignment horizontal="center" vertical="center" textRotation="0" wrapText="false" shrinkToFit="false"/>
    </xf>
    <xf xfId="0" fontId="1" numFmtId="0" fillId="0" borderId="15" applyFont="1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left" vertical="bottom" textRotation="0" wrapText="false" shrinkToFit="false"/>
    </xf>
    <xf xfId="0" fontId="0" numFmtId="0" fillId="0" borderId="8" applyFont="0" applyNumberFormat="0" applyFill="0" applyBorder="1" applyAlignment="1">
      <alignment horizontal="left" vertical="bottom" textRotation="0" wrapText="false" shrinkToFit="false"/>
    </xf>
    <xf xfId="0" fontId="0" numFmtId="0" fillId="0" borderId="9" applyFont="0" applyNumberFormat="0" applyFill="0" applyBorder="1" applyAlignment="1">
      <alignment horizontal="left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center" textRotation="0" wrapText="true" shrinkToFit="false"/>
    </xf>
    <xf xfId="0" fontId="1" numFmtId="0" fillId="0" borderId="15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12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0" applyFont="1" applyNumberFormat="0" applyFill="0" applyBorder="1" applyAlignment="1">
      <alignment horizontal="center" vertical="bottom" textRotation="0" wrapText="true" shrinkToFit="false"/>
    </xf>
    <xf xfId="0" fontId="7" numFmtId="0" fillId="0" borderId="10" applyFont="1" applyNumberFormat="0" applyFill="0" applyBorder="1" applyAlignment="1">
      <alignment horizontal="center" vertical="bottom" textRotation="0" wrapText="false" shrinkToFit="false"/>
    </xf>
    <xf xfId="0" fontId="1" numFmtId="0" fillId="0" borderId="15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13" applyFont="1" applyNumberFormat="0" applyFill="0" applyBorder="1" applyAlignment="1">
      <alignment horizontal="center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4" borderId="1" applyFont="1" applyNumberFormat="0" applyFill="1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true" shrinkToFit="false"/>
    </xf>
  </cellXfs>
  <cellStyles count="1">
    <cellStyle name="Normal" xfId="0" builtinId="0"/>
  </cellStyles>
  <dxfs count="4">
    <dxf>
      <font>
        <color rgb="FF44749F"/>
      </font>
      <alignment/>
      <border/>
    </dxf>
    <dxf>
      <font>
        <color rgb="FFFFC000"/>
      </font>
      <alignment/>
      <border/>
    </dxf>
    <dxf>
      <font>
        <color rgb="FFFF0000"/>
      </font>
      <alignment/>
      <border/>
    </dxf>
    <dxf>
      <font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O57"/>
  <sheetViews>
    <sheetView tabSelected="1" workbookViewId="0" zoomScale="86" zoomScaleNormal="70" view="pageLayout" showGridLines="false" showRowColHeaders="0">
      <selection activeCell="A1" sqref="A1:N1"/>
    </sheetView>
  </sheetViews>
  <sheetFormatPr defaultRowHeight="14.4" outlineLevelRow="0" outlineLevelCol="0"/>
  <cols>
    <col min="1" max="1" width="52.28515625" customWidth="true" style="7"/>
    <col min="2" max="2" width="8" customWidth="true" style="21"/>
    <col min="3" max="3" width="24.42578125" customWidth="true" style="24"/>
    <col min="4" max="4" width="5.7109375" hidden="true" customWidth="true" style="21"/>
    <col min="5" max="5" width="7.7109375" hidden="true" customWidth="true" style="21"/>
    <col min="6" max="6" width="33.5703125" customWidth="true" style="22"/>
    <col min="7" max="7" width="6.7109375" hidden="true" customWidth="true" style="21"/>
    <col min="8" max="8" width="12.28515625" hidden="true" customWidth="true" style="21"/>
    <col min="9" max="9" width="57.85546875" customWidth="true" style="22"/>
    <col min="10" max="10" width="5.85546875" hidden="true" customWidth="true" style="21"/>
    <col min="11" max="11" width="21.28515625" customWidth="true" style="24"/>
    <col min="12" max="12" width="8.28515625" customWidth="true" style="23"/>
    <col min="13" max="13" width="14.85546875" customWidth="true" style="24"/>
    <col min="14" max="14" width="14.5703125" customWidth="true" style="0"/>
  </cols>
  <sheetData>
    <row r="1" spans="1:15" customHeight="1" ht="31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5">
      <c r="A2" s="7"/>
      <c r="B2" s="3"/>
      <c r="C2" s="2"/>
      <c r="D2" s="3"/>
      <c r="E2" s="3"/>
      <c r="F2" s="5"/>
      <c r="G2" s="3"/>
      <c r="H2" s="3"/>
      <c r="I2" s="5"/>
      <c r="J2" s="3"/>
      <c r="K2" s="2"/>
      <c r="L2" s="13"/>
      <c r="M2" s="2"/>
    </row>
    <row r="3" spans="1:15">
      <c r="A3" s="66" t="s">
        <v>1</v>
      </c>
      <c r="B3" s="8" t="s">
        <v>2</v>
      </c>
      <c r="C3" s="10" t="s">
        <v>3</v>
      </c>
      <c r="D3" s="8"/>
      <c r="E3" s="8"/>
      <c r="F3" s="5"/>
      <c r="G3" s="3"/>
      <c r="H3" s="3"/>
      <c r="I3" s="5"/>
      <c r="J3" s="3"/>
      <c r="K3" s="2"/>
      <c r="L3" s="13"/>
      <c r="M3" s="2"/>
    </row>
    <row r="4" spans="1:15">
      <c r="A4" s="66" t="s">
        <v>4</v>
      </c>
      <c r="B4" s="8" t="s">
        <v>2</v>
      </c>
      <c r="C4" s="10" t="s">
        <v>5</v>
      </c>
      <c r="D4" s="8"/>
      <c r="E4" s="8"/>
      <c r="F4" s="5"/>
      <c r="G4" s="3"/>
      <c r="H4" s="3"/>
      <c r="I4" s="5"/>
      <c r="J4" s="3"/>
      <c r="K4" s="2"/>
      <c r="L4" s="13"/>
      <c r="M4" s="2"/>
    </row>
    <row r="5" spans="1:15">
      <c r="A5" s="66" t="s">
        <v>6</v>
      </c>
      <c r="B5" s="8" t="s">
        <v>2</v>
      </c>
      <c r="C5" s="10" t="s">
        <v>7</v>
      </c>
      <c r="D5" s="8"/>
      <c r="E5" s="8"/>
      <c r="F5" s="5"/>
      <c r="G5" s="3"/>
      <c r="H5" s="3"/>
      <c r="I5" s="5"/>
      <c r="J5" s="3"/>
      <c r="K5" s="2"/>
      <c r="L5" s="13"/>
      <c r="M5" s="2"/>
    </row>
    <row r="6" spans="1:15">
      <c r="A6" s="66" t="s">
        <v>8</v>
      </c>
      <c r="B6" s="8" t="s">
        <v>2</v>
      </c>
      <c r="C6" s="10" t="s">
        <v>9</v>
      </c>
      <c r="D6" s="8"/>
      <c r="E6" s="8"/>
      <c r="F6" s="5"/>
      <c r="G6" s="3"/>
      <c r="H6" s="3"/>
      <c r="I6" s="5"/>
      <c r="J6" s="3"/>
      <c r="K6" s="2"/>
      <c r="L6" s="13"/>
      <c r="M6" s="2"/>
    </row>
    <row r="7" spans="1:15">
      <c r="A7" s="66" t="s">
        <v>10</v>
      </c>
      <c r="B7" s="8" t="s">
        <v>2</v>
      </c>
      <c r="C7" s="10">
        <v>0.7579</v>
      </c>
      <c r="D7" s="8"/>
      <c r="E7" s="8"/>
      <c r="F7" s="5"/>
      <c r="G7" s="3"/>
      <c r="H7" s="3"/>
      <c r="I7" s="5"/>
      <c r="J7" s="3"/>
      <c r="K7" s="2"/>
      <c r="L7" s="13"/>
      <c r="M7" s="2"/>
    </row>
    <row r="8" spans="1:15">
      <c r="A8" s="66" t="s">
        <v>11</v>
      </c>
      <c r="B8" s="8" t="s">
        <v>2</v>
      </c>
      <c r="C8" s="9" t="s">
        <v>12</v>
      </c>
      <c r="D8" s="11"/>
      <c r="E8" s="11"/>
      <c r="F8" s="5"/>
      <c r="G8" s="3"/>
      <c r="H8" s="3"/>
      <c r="I8" s="5"/>
      <c r="J8" s="3"/>
      <c r="K8" s="2"/>
      <c r="L8" s="13"/>
      <c r="M8" s="2"/>
    </row>
    <row r="9" spans="1:15" customHeight="1" ht="35.45">
      <c r="A9" s="7"/>
      <c r="B9" s="3"/>
      <c r="C9" s="2"/>
      <c r="D9" s="3"/>
      <c r="E9" s="3"/>
      <c r="F9" s="5"/>
      <c r="G9" s="3"/>
      <c r="H9" s="3"/>
      <c r="I9" s="5"/>
      <c r="J9" s="3"/>
      <c r="K9" s="2"/>
      <c r="L9" s="13"/>
      <c r="M9" s="100" t="s">
        <v>13</v>
      </c>
      <c r="N9" s="100"/>
    </row>
    <row r="10" spans="1:15" customHeight="1" ht="30">
      <c r="A10" s="105" t="s">
        <v>14</v>
      </c>
      <c r="B10" s="105"/>
      <c r="C10" s="64" t="s">
        <v>15</v>
      </c>
      <c r="D10" s="64" t="s">
        <v>16</v>
      </c>
      <c r="E10" s="64" t="s">
        <v>17</v>
      </c>
      <c r="F10" s="65" t="s">
        <v>18</v>
      </c>
      <c r="G10" s="64" t="s">
        <v>16</v>
      </c>
      <c r="H10" s="64" t="s">
        <v>17</v>
      </c>
      <c r="I10" s="65" t="s">
        <v>19</v>
      </c>
      <c r="J10" s="64" t="s">
        <v>16</v>
      </c>
      <c r="K10" s="106" t="s">
        <v>20</v>
      </c>
      <c r="L10" s="106"/>
      <c r="M10" s="47" t="s">
        <v>21</v>
      </c>
      <c r="N10" s="47" t="s">
        <v>22</v>
      </c>
    </row>
    <row r="11" spans="1:15" customHeight="1" ht="18.75">
      <c r="A11" s="107" t="s">
        <v>23</v>
      </c>
      <c r="B11" s="107"/>
      <c r="C11" s="108" t="s">
        <v>24</v>
      </c>
      <c r="D11" s="49">
        <f>SUM(G11:G15)</f>
        <v>27</v>
      </c>
      <c r="E11" s="50">
        <f>D11/35</f>
        <v>0.77142857142857</v>
      </c>
      <c r="F11" s="104" t="s">
        <v>25</v>
      </c>
      <c r="G11" s="62">
        <f>SUM(J11:J12)</f>
        <v>12</v>
      </c>
      <c r="H11" s="33">
        <f>G11/20</f>
        <v>0.6</v>
      </c>
      <c r="I11" s="51" t="s">
        <v>26</v>
      </c>
      <c r="J11" s="68">
        <v>5.0</v>
      </c>
      <c r="K11" s="53">
        <f>L12</f>
        <v>0.47</v>
      </c>
      <c r="L11" s="54">
        <v>1.0</v>
      </c>
      <c r="M11" s="55"/>
      <c r="N11" s="42"/>
    </row>
    <row r="12" spans="1:15" customHeight="1" ht="18.75">
      <c r="A12" s="42" t="s">
        <v>27</v>
      </c>
      <c r="B12" s="56">
        <f>SUM(D11,D16,D23,D35)/175</f>
        <v>0.85714285714286</v>
      </c>
      <c r="C12" s="108"/>
      <c r="D12" s="49"/>
      <c r="E12" s="50"/>
      <c r="F12" s="104"/>
      <c r="G12" s="33"/>
      <c r="H12" s="33"/>
      <c r="I12" s="51" t="s">
        <v>28</v>
      </c>
      <c r="J12" s="68">
        <v>7.0</v>
      </c>
      <c r="K12" s="53">
        <f>L13</f>
        <v>1</v>
      </c>
      <c r="L12" s="54">
        <v>0.47</v>
      </c>
      <c r="M12" s="55"/>
      <c r="N12" s="42"/>
      <c r="O12" s="25"/>
    </row>
    <row r="13" spans="1:15" customHeight="1" ht="15.75">
      <c r="A13" s="49" t="s">
        <v>24</v>
      </c>
      <c r="B13" s="57">
        <f>E11</f>
        <v>0.77142857142857</v>
      </c>
      <c r="C13" s="108"/>
      <c r="D13" s="49"/>
      <c r="E13" s="50"/>
      <c r="F13" s="104" t="s">
        <v>29</v>
      </c>
      <c r="G13" s="33">
        <f>SUM(J13:J14)</f>
        <v>10</v>
      </c>
      <c r="H13" s="33">
        <f>G13/10</f>
        <v>1</v>
      </c>
      <c r="I13" s="51" t="s">
        <v>30</v>
      </c>
      <c r="J13" s="68">
        <v>5.0</v>
      </c>
      <c r="K13" s="53">
        <f>L14</f>
        <v>1</v>
      </c>
      <c r="L13" s="54">
        <v>1.0</v>
      </c>
      <c r="M13" s="55"/>
      <c r="N13" s="42"/>
    </row>
    <row r="14" spans="1:15" customHeight="1" ht="15.75">
      <c r="A14" s="49" t="s">
        <v>31</v>
      </c>
      <c r="B14" s="57">
        <f>E16</f>
        <v>0.88571428571429</v>
      </c>
      <c r="C14" s="108"/>
      <c r="D14" s="49"/>
      <c r="E14" s="50"/>
      <c r="F14" s="104"/>
      <c r="G14" s="33"/>
      <c r="H14" s="33"/>
      <c r="I14" s="51" t="s">
        <v>32</v>
      </c>
      <c r="J14" s="68">
        <v>5.0</v>
      </c>
      <c r="K14" s="53">
        <f>L15</f>
        <v>1</v>
      </c>
      <c r="L14" s="54">
        <v>1.0</v>
      </c>
      <c r="M14" s="55"/>
      <c r="N14" s="42"/>
    </row>
    <row r="15" spans="1:15" customHeight="1" ht="15.75">
      <c r="A15" s="49" t="s">
        <v>33</v>
      </c>
      <c r="B15" s="57">
        <f>E23</f>
        <v>0.90769230769231</v>
      </c>
      <c r="C15" s="108"/>
      <c r="D15" s="49"/>
      <c r="E15" s="50"/>
      <c r="F15" s="4" t="s">
        <v>34</v>
      </c>
      <c r="G15" s="33">
        <f>J15</f>
        <v>5</v>
      </c>
      <c r="H15" s="33">
        <f>G15/5</f>
        <v>1</v>
      </c>
      <c r="I15" s="51" t="s">
        <v>35</v>
      </c>
      <c r="J15" s="68">
        <v>5.0</v>
      </c>
      <c r="K15" s="53">
        <f>L16</f>
        <v>1</v>
      </c>
      <c r="L15" s="54">
        <v>1.0</v>
      </c>
      <c r="M15" s="55"/>
      <c r="N15" s="42"/>
    </row>
    <row r="16" spans="1:15" customHeight="1" ht="15.75">
      <c r="A16" s="49" t="s">
        <v>36</v>
      </c>
      <c r="B16" s="57">
        <f>E35</f>
        <v>0.825</v>
      </c>
      <c r="C16" s="108" t="s">
        <v>31</v>
      </c>
      <c r="D16" s="49">
        <f>SUM(G16:G22)</f>
        <v>31</v>
      </c>
      <c r="E16" s="50">
        <f>D16/35</f>
        <v>0.88571428571429</v>
      </c>
      <c r="F16" s="104" t="s">
        <v>37</v>
      </c>
      <c r="G16" s="33">
        <f>SUM(J16:J18)</f>
        <v>15</v>
      </c>
      <c r="H16" s="33">
        <f>G16/15</f>
        <v>1</v>
      </c>
      <c r="I16" s="51" t="s">
        <v>38</v>
      </c>
      <c r="J16" s="68">
        <v>5.0</v>
      </c>
      <c r="K16" s="53">
        <f>L17</f>
        <v>1</v>
      </c>
      <c r="L16" s="54">
        <v>1.0</v>
      </c>
      <c r="M16" s="55"/>
      <c r="N16" s="42"/>
    </row>
    <row r="17" spans="1:15" customHeight="1" ht="18.75">
      <c r="A17" s="58"/>
      <c r="B17" s="27"/>
      <c r="C17" s="108"/>
      <c r="D17" s="49"/>
      <c r="E17" s="50"/>
      <c r="F17" s="104"/>
      <c r="G17" s="33"/>
      <c r="H17" s="33"/>
      <c r="I17" s="51" t="s">
        <v>39</v>
      </c>
      <c r="J17" s="68">
        <v>5.0</v>
      </c>
      <c r="K17" s="53">
        <f>L18</f>
        <v>1</v>
      </c>
      <c r="L17" s="54">
        <v>1.0</v>
      </c>
      <c r="M17" s="55"/>
      <c r="N17" s="42"/>
    </row>
    <row r="18" spans="1:15" customHeight="1" ht="18.75">
      <c r="A18" s="58"/>
      <c r="B18" s="27"/>
      <c r="C18" s="108"/>
      <c r="D18" s="49"/>
      <c r="E18" s="50"/>
      <c r="F18" s="104"/>
      <c r="G18" s="33"/>
      <c r="H18" s="33"/>
      <c r="I18" s="51" t="s">
        <v>40</v>
      </c>
      <c r="J18" s="68">
        <v>5.0</v>
      </c>
      <c r="K18" s="53">
        <f>L19</f>
        <v>1</v>
      </c>
      <c r="L18" s="54">
        <v>1.0</v>
      </c>
      <c r="M18" s="55"/>
      <c r="N18" s="42"/>
    </row>
    <row r="19" spans="1:15" customHeight="1" ht="18.75">
      <c r="A19" s="58"/>
      <c r="B19" s="27"/>
      <c r="C19" s="108"/>
      <c r="D19" s="49"/>
      <c r="E19" s="50"/>
      <c r="F19" s="104" t="s">
        <v>41</v>
      </c>
      <c r="G19" s="33">
        <f>SUM(J19:J21)</f>
        <v>11</v>
      </c>
      <c r="H19" s="33">
        <f>G19/15</f>
        <v>0.73333333333333</v>
      </c>
      <c r="I19" s="51" t="s">
        <v>42</v>
      </c>
      <c r="J19" s="68">
        <v>5.0</v>
      </c>
      <c r="K19" s="53">
        <f>L20</f>
        <v>1</v>
      </c>
      <c r="L19" s="54">
        <v>1.0</v>
      </c>
      <c r="M19" s="55"/>
      <c r="N19" s="42"/>
    </row>
    <row r="20" spans="1:15" customHeight="1" ht="18.75">
      <c r="A20" s="58"/>
      <c r="B20" s="27"/>
      <c r="C20" s="108"/>
      <c r="D20" s="49"/>
      <c r="E20" s="50"/>
      <c r="F20" s="104"/>
      <c r="G20" s="33"/>
      <c r="H20" s="33"/>
      <c r="I20" s="51" t="s">
        <v>43</v>
      </c>
      <c r="J20" s="68">
        <v>5.0</v>
      </c>
      <c r="K20" s="53">
        <f>L21</f>
        <v>0.2</v>
      </c>
      <c r="L20" s="54">
        <v>1.0</v>
      </c>
      <c r="M20" s="55"/>
      <c r="N20" s="42"/>
    </row>
    <row r="21" spans="1:15" customHeight="1" ht="18.75">
      <c r="A21" s="58"/>
      <c r="B21" s="27"/>
      <c r="C21" s="108"/>
      <c r="D21" s="49"/>
      <c r="E21" s="50"/>
      <c r="F21" s="104"/>
      <c r="G21" s="33"/>
      <c r="H21" s="33"/>
      <c r="I21" s="51" t="s">
        <v>44</v>
      </c>
      <c r="J21" s="68">
        <v>1.0</v>
      </c>
      <c r="K21" s="53">
        <f>L22</f>
        <v>1</v>
      </c>
      <c r="L21" s="54">
        <v>0.2</v>
      </c>
      <c r="M21" s="55"/>
      <c r="N21" s="42"/>
    </row>
    <row r="22" spans="1:15" customHeight="1" ht="18.75">
      <c r="A22" s="58"/>
      <c r="B22" s="27"/>
      <c r="C22" s="108"/>
      <c r="D22" s="49"/>
      <c r="E22" s="50"/>
      <c r="F22" s="4" t="s">
        <v>45</v>
      </c>
      <c r="G22" s="33">
        <f>J22</f>
        <v>5</v>
      </c>
      <c r="H22" s="33">
        <f>G22/5</f>
        <v>1</v>
      </c>
      <c r="I22" s="51" t="s">
        <v>46</v>
      </c>
      <c r="J22" s="68">
        <v>5.0</v>
      </c>
      <c r="K22" s="53">
        <f>L23</f>
        <v>1</v>
      </c>
      <c r="L22" s="54">
        <v>1.0</v>
      </c>
      <c r="M22" s="55"/>
      <c r="N22" s="42"/>
    </row>
    <row r="23" spans="1:15" customHeight="1" ht="18.75">
      <c r="A23" s="58"/>
      <c r="B23" s="27"/>
      <c r="C23" s="108" t="s">
        <v>33</v>
      </c>
      <c r="D23" s="49">
        <f>SUM(G23:G33)</f>
        <v>59</v>
      </c>
      <c r="E23" s="50">
        <f>D23/65</f>
        <v>0.90769230769231</v>
      </c>
      <c r="F23" s="104" t="s">
        <v>47</v>
      </c>
      <c r="G23" s="33">
        <f>SUM(J23:J26)</f>
        <v>23</v>
      </c>
      <c r="H23" s="33">
        <f>G23/25</f>
        <v>0.92</v>
      </c>
      <c r="I23" s="51" t="s">
        <v>48</v>
      </c>
      <c r="J23" s="68">
        <v>10.0</v>
      </c>
      <c r="K23" s="53">
        <f>L24</f>
        <v>1</v>
      </c>
      <c r="L23" s="54">
        <v>1.0</v>
      </c>
      <c r="M23" s="55"/>
      <c r="N23" s="42"/>
    </row>
    <row r="24" spans="1:15" customHeight="1" ht="18.75">
      <c r="A24" s="58"/>
      <c r="B24" s="27"/>
      <c r="C24" s="108"/>
      <c r="D24" s="49"/>
      <c r="E24" s="50"/>
      <c r="F24" s="104"/>
      <c r="G24" s="33"/>
      <c r="H24" s="33"/>
      <c r="I24" s="51" t="s">
        <v>49</v>
      </c>
      <c r="J24" s="68">
        <v>5.0</v>
      </c>
      <c r="K24" s="53">
        <f>L25</f>
        <v>0.8</v>
      </c>
      <c r="L24" s="54">
        <v>1.0</v>
      </c>
      <c r="M24" s="55"/>
      <c r="N24" s="42"/>
    </row>
    <row r="25" spans="1:15" customHeight="1" ht="18.75">
      <c r="A25" s="58"/>
      <c r="B25" s="27"/>
      <c r="C25" s="108"/>
      <c r="D25" s="49"/>
      <c r="E25" s="50"/>
      <c r="F25" s="104"/>
      <c r="G25" s="33"/>
      <c r="H25" s="33"/>
      <c r="I25" s="51" t="s">
        <v>50</v>
      </c>
      <c r="J25" s="68">
        <v>4.0</v>
      </c>
      <c r="K25" s="53">
        <f>L26</f>
        <v>0.8</v>
      </c>
      <c r="L25" s="54">
        <v>0.8</v>
      </c>
      <c r="M25" s="55"/>
      <c r="N25" s="42"/>
    </row>
    <row r="26" spans="1:15" customHeight="1" ht="18.75">
      <c r="A26" s="58"/>
      <c r="B26" s="27"/>
      <c r="C26" s="108"/>
      <c r="D26" s="49"/>
      <c r="E26" s="50"/>
      <c r="F26" s="104"/>
      <c r="G26" s="33"/>
      <c r="H26" s="33"/>
      <c r="I26" s="51" t="s">
        <v>51</v>
      </c>
      <c r="J26" s="68">
        <v>4.0</v>
      </c>
      <c r="K26" s="53">
        <f>L27</f>
        <v>0.2</v>
      </c>
      <c r="L26" s="54">
        <v>0.8</v>
      </c>
      <c r="M26" s="55"/>
      <c r="N26" s="42"/>
    </row>
    <row r="27" spans="1:15" customHeight="1" ht="18.75">
      <c r="A27" s="58"/>
      <c r="B27" s="27"/>
      <c r="C27" s="108"/>
      <c r="D27" s="49"/>
      <c r="E27" s="50"/>
      <c r="F27" s="104" t="s">
        <v>52</v>
      </c>
      <c r="G27" s="33">
        <f>SUM(J27:J29)</f>
        <v>11</v>
      </c>
      <c r="H27" s="33">
        <f>G27/15</f>
        <v>0.73333333333333</v>
      </c>
      <c r="I27" s="51" t="s">
        <v>53</v>
      </c>
      <c r="J27" s="68">
        <v>1.0</v>
      </c>
      <c r="K27" s="53">
        <f>L28</f>
        <v>1</v>
      </c>
      <c r="L27" s="54">
        <v>0.2</v>
      </c>
      <c r="M27" s="55"/>
      <c r="N27" s="42"/>
    </row>
    <row r="28" spans="1:15" customHeight="1" ht="18.75">
      <c r="A28" s="58"/>
      <c r="B28" s="27"/>
      <c r="C28" s="108"/>
      <c r="D28" s="49"/>
      <c r="E28" s="50"/>
      <c r="F28" s="104"/>
      <c r="G28" s="33"/>
      <c r="H28" s="33"/>
      <c r="I28" s="51" t="s">
        <v>54</v>
      </c>
      <c r="J28" s="68">
        <v>5.0</v>
      </c>
      <c r="K28" s="53">
        <f>L29</f>
        <v>1</v>
      </c>
      <c r="L28" s="54">
        <v>1.0</v>
      </c>
      <c r="M28" s="55"/>
      <c r="N28" s="42"/>
    </row>
    <row r="29" spans="1:15" customHeight="1" ht="18.75">
      <c r="A29" s="58"/>
      <c r="B29" s="27"/>
      <c r="C29" s="108"/>
      <c r="D29" s="49"/>
      <c r="E29" s="50"/>
      <c r="F29" s="104"/>
      <c r="G29" s="33"/>
      <c r="H29" s="33"/>
      <c r="I29" s="51" t="s">
        <v>55</v>
      </c>
      <c r="J29" s="68">
        <v>5.0</v>
      </c>
      <c r="K29" s="53">
        <f>L30</f>
        <v>1</v>
      </c>
      <c r="L29" s="54">
        <v>1.0</v>
      </c>
      <c r="M29" s="55"/>
      <c r="N29" s="42"/>
    </row>
    <row r="30" spans="1:15" customHeight="1" ht="18.75">
      <c r="A30" s="58"/>
      <c r="B30" s="27"/>
      <c r="C30" s="108"/>
      <c r="D30" s="49"/>
      <c r="E30" s="50"/>
      <c r="F30" s="104" t="s">
        <v>56</v>
      </c>
      <c r="G30" s="33">
        <f>SUM(J30:J32)</f>
        <v>15</v>
      </c>
      <c r="H30" s="33">
        <f>G30/15</f>
        <v>1</v>
      </c>
      <c r="I30" s="51" t="s">
        <v>57</v>
      </c>
      <c r="J30" s="68">
        <v>5.0</v>
      </c>
      <c r="K30" s="53">
        <f>L31</f>
        <v>1</v>
      </c>
      <c r="L30" s="54">
        <v>1.0</v>
      </c>
      <c r="M30" s="55"/>
      <c r="N30" s="42"/>
    </row>
    <row r="31" spans="1:15" customHeight="1" ht="18.75">
      <c r="A31" s="58"/>
      <c r="B31" s="27"/>
      <c r="C31" s="108"/>
      <c r="D31" s="49"/>
      <c r="E31" s="50"/>
      <c r="F31" s="104"/>
      <c r="G31" s="33"/>
      <c r="H31" s="33"/>
      <c r="I31" s="51" t="s">
        <v>58</v>
      </c>
      <c r="J31" s="68">
        <v>5.0</v>
      </c>
      <c r="K31" s="53">
        <f>L32</f>
        <v>1</v>
      </c>
      <c r="L31" s="54">
        <v>1.0</v>
      </c>
      <c r="M31" s="55"/>
      <c r="N31" s="42"/>
    </row>
    <row r="32" spans="1:15" customHeight="1" ht="18.75">
      <c r="A32" s="58"/>
      <c r="B32" s="27"/>
      <c r="C32" s="108"/>
      <c r="D32" s="49"/>
      <c r="E32" s="50"/>
      <c r="F32" s="104"/>
      <c r="G32" s="33"/>
      <c r="H32" s="33"/>
      <c r="I32" s="51" t="s">
        <v>59</v>
      </c>
      <c r="J32" s="68">
        <v>5.0</v>
      </c>
      <c r="K32" s="53">
        <f>L33</f>
        <v>1</v>
      </c>
      <c r="L32" s="54">
        <v>1.0</v>
      </c>
      <c r="M32" s="55"/>
      <c r="N32" s="42"/>
    </row>
    <row r="33" spans="1:15" customHeight="1" ht="18.75">
      <c r="A33" s="58"/>
      <c r="B33" s="27"/>
      <c r="C33" s="108"/>
      <c r="D33" s="49"/>
      <c r="E33" s="50"/>
      <c r="F33" s="104" t="s">
        <v>60</v>
      </c>
      <c r="G33" s="33">
        <f>SUM(J33:J34)</f>
        <v>10</v>
      </c>
      <c r="H33" s="33">
        <f>G33/10</f>
        <v>1</v>
      </c>
      <c r="I33" s="51" t="s">
        <v>61</v>
      </c>
      <c r="J33" s="68">
        <v>5.0</v>
      </c>
      <c r="K33" s="53">
        <f>L34</f>
        <v>1</v>
      </c>
      <c r="L33" s="54">
        <v>1.0</v>
      </c>
      <c r="M33" s="55"/>
      <c r="N33" s="42"/>
    </row>
    <row r="34" spans="1:15" customHeight="1" ht="31.9">
      <c r="A34" s="58"/>
      <c r="B34" s="27"/>
      <c r="C34" s="108"/>
      <c r="D34" s="49"/>
      <c r="E34" s="50"/>
      <c r="F34" s="104"/>
      <c r="G34" s="33"/>
      <c r="H34" s="33"/>
      <c r="I34" s="51" t="s">
        <v>62</v>
      </c>
      <c r="J34" s="68">
        <v>5.0</v>
      </c>
      <c r="K34" s="53">
        <f>L35</f>
        <v>1</v>
      </c>
      <c r="L34" s="54">
        <v>1.0</v>
      </c>
      <c r="M34" s="55"/>
      <c r="N34" s="42"/>
    </row>
    <row r="35" spans="1:15" customHeight="1" ht="18.75">
      <c r="A35" s="58"/>
      <c r="B35" s="27"/>
      <c r="C35" s="108" t="s">
        <v>36</v>
      </c>
      <c r="D35" s="49">
        <f>SUM(G35:G42)</f>
        <v>33</v>
      </c>
      <c r="E35" s="50">
        <f>D35/40</f>
        <v>0.825</v>
      </c>
      <c r="F35" s="104" t="s">
        <v>63</v>
      </c>
      <c r="G35" s="33">
        <f>SUM(J35:J36)</f>
        <v>10</v>
      </c>
      <c r="H35" s="33">
        <f>G35/10</f>
        <v>1</v>
      </c>
      <c r="I35" s="51" t="s">
        <v>64</v>
      </c>
      <c r="J35" s="68">
        <v>5.0</v>
      </c>
      <c r="K35" s="53">
        <f>L36</f>
        <v>1</v>
      </c>
      <c r="L35" s="54">
        <v>1.0</v>
      </c>
      <c r="M35" s="55"/>
      <c r="N35" s="42"/>
    </row>
    <row r="36" spans="1:15" customHeight="1" ht="18.75">
      <c r="A36" s="58"/>
      <c r="B36" s="27"/>
      <c r="C36" s="108"/>
      <c r="D36" s="49"/>
      <c r="E36" s="50"/>
      <c r="F36" s="104"/>
      <c r="G36" s="33"/>
      <c r="H36" s="33"/>
      <c r="I36" s="51" t="s">
        <v>65</v>
      </c>
      <c r="J36" s="68">
        <v>5.0</v>
      </c>
      <c r="K36" s="53">
        <f>L37</f>
        <v>1</v>
      </c>
      <c r="L36" s="54">
        <v>1.0</v>
      </c>
      <c r="M36" s="55"/>
      <c r="N36" s="42"/>
    </row>
    <row r="37" spans="1:15" customHeight="1" ht="18.75">
      <c r="A37" s="58"/>
      <c r="B37" s="27"/>
      <c r="C37" s="108"/>
      <c r="D37" s="49"/>
      <c r="E37" s="50"/>
      <c r="F37" s="104" t="s">
        <v>66</v>
      </c>
      <c r="G37" s="33">
        <f>SUM(J37:J38)</f>
        <v>9</v>
      </c>
      <c r="H37" s="33">
        <f>G37/10</f>
        <v>0.9</v>
      </c>
      <c r="I37" s="51" t="s">
        <v>67</v>
      </c>
      <c r="J37" s="68">
        <v>5.0</v>
      </c>
      <c r="K37" s="53">
        <f>L38</f>
        <v>0.8</v>
      </c>
      <c r="L37" s="54">
        <v>1.0</v>
      </c>
      <c r="M37" s="55"/>
      <c r="N37" s="42"/>
    </row>
    <row r="38" spans="1:15" customHeight="1" ht="18.75">
      <c r="A38" s="58"/>
      <c r="B38" s="27"/>
      <c r="C38" s="108"/>
      <c r="D38" s="49"/>
      <c r="E38" s="50"/>
      <c r="F38" s="104"/>
      <c r="G38" s="33"/>
      <c r="H38" s="33"/>
      <c r="I38" s="51" t="s">
        <v>68</v>
      </c>
      <c r="J38" s="68">
        <v>4.0</v>
      </c>
      <c r="K38" s="53">
        <f>L39</f>
        <v>1</v>
      </c>
      <c r="L38" s="54">
        <v>0.8</v>
      </c>
      <c r="M38" s="55"/>
      <c r="N38" s="42"/>
    </row>
    <row r="39" spans="1:15" customHeight="1" ht="18.75">
      <c r="A39" s="58"/>
      <c r="B39" s="27"/>
      <c r="C39" s="108"/>
      <c r="D39" s="49"/>
      <c r="E39" s="50"/>
      <c r="F39" s="32" t="s">
        <v>69</v>
      </c>
      <c r="G39" s="33">
        <f>J39</f>
        <v>5</v>
      </c>
      <c r="H39" s="33">
        <f>G39/5</f>
        <v>1</v>
      </c>
      <c r="I39" s="51" t="s">
        <v>70</v>
      </c>
      <c r="J39" s="68">
        <v>5.0</v>
      </c>
      <c r="K39" s="53">
        <f>L40</f>
        <v>0.6</v>
      </c>
      <c r="L39" s="54">
        <v>1.0</v>
      </c>
      <c r="M39" s="55"/>
      <c r="N39" s="42"/>
    </row>
    <row r="40" spans="1:15" customHeight="1" ht="18.75">
      <c r="A40" s="58"/>
      <c r="B40" s="27"/>
      <c r="C40" s="108"/>
      <c r="D40" s="49"/>
      <c r="E40" s="50"/>
      <c r="F40" s="104" t="s">
        <v>71</v>
      </c>
      <c r="G40" s="33">
        <f>SUM(J40:J42)</f>
        <v>9</v>
      </c>
      <c r="H40" s="33">
        <f>G40/15</f>
        <v>0.6</v>
      </c>
      <c r="I40" s="51" t="s">
        <v>72</v>
      </c>
      <c r="J40" s="68">
        <v>3.0</v>
      </c>
      <c r="K40" s="53">
        <f>L41</f>
        <v>1</v>
      </c>
      <c r="L40" s="54">
        <v>0.6</v>
      </c>
      <c r="M40" s="55"/>
      <c r="N40" s="42"/>
    </row>
    <row r="41" spans="1:15" customHeight="1" ht="18.75">
      <c r="A41" s="58"/>
      <c r="B41" s="27"/>
      <c r="C41" s="108"/>
      <c r="D41" s="49"/>
      <c r="E41" s="50"/>
      <c r="F41" s="104"/>
      <c r="G41" s="33"/>
      <c r="H41" s="33"/>
      <c r="I41" s="51" t="s">
        <v>73</v>
      </c>
      <c r="J41" s="68">
        <v>5.0</v>
      </c>
      <c r="K41" s="53">
        <f>L42</f>
        <v>0.2</v>
      </c>
      <c r="L41" s="54">
        <v>1.0</v>
      </c>
      <c r="M41" s="55"/>
      <c r="N41" s="42"/>
    </row>
    <row r="42" spans="1:15" customHeight="1" ht="18.75">
      <c r="A42" s="58"/>
      <c r="B42" s="27"/>
      <c r="C42" s="108"/>
      <c r="D42" s="49"/>
      <c r="E42" s="50"/>
      <c r="F42" s="104"/>
      <c r="G42" s="33"/>
      <c r="H42" s="33"/>
      <c r="I42" s="51" t="s">
        <v>74</v>
      </c>
      <c r="J42" s="68">
        <v>1.0</v>
      </c>
      <c r="K42" s="53">
        <f>L43</f>
        <v>1</v>
      </c>
      <c r="L42" s="54">
        <v>0.2</v>
      </c>
      <c r="M42" s="55"/>
      <c r="N42" s="42"/>
    </row>
    <row r="43" spans="1:15" customHeight="1" ht="30.6">
      <c r="A43" s="103" t="s">
        <v>75</v>
      </c>
      <c r="B43" s="103"/>
      <c r="C43" s="49" t="s">
        <v>76</v>
      </c>
      <c r="D43" s="49">
        <f>G43</f>
        <v>5</v>
      </c>
      <c r="E43" s="50">
        <f>H43</f>
        <v>1</v>
      </c>
      <c r="F43" s="4" t="s">
        <v>77</v>
      </c>
      <c r="G43" s="33">
        <f>J43</f>
        <v>5</v>
      </c>
      <c r="H43" s="33">
        <f>G43/5</f>
        <v>1</v>
      </c>
      <c r="I43" s="51" t="s">
        <v>78</v>
      </c>
      <c r="J43" s="68">
        <v>5.0</v>
      </c>
      <c r="K43" s="53">
        <f>L44</f>
        <v>1</v>
      </c>
      <c r="L43" s="54">
        <v>1.0</v>
      </c>
      <c r="M43" s="55"/>
      <c r="N43" s="42"/>
    </row>
    <row r="44" spans="1:15" customHeight="1" ht="31.15">
      <c r="A44" s="49" t="s">
        <v>76</v>
      </c>
      <c r="B44" s="57">
        <f>E43</f>
        <v>1</v>
      </c>
      <c r="C44" s="108" t="s">
        <v>79</v>
      </c>
      <c r="D44" s="49">
        <f>G44</f>
        <v>11</v>
      </c>
      <c r="E44" s="50">
        <f>H44</f>
        <v>0.73333333333333</v>
      </c>
      <c r="F44" s="104" t="s">
        <v>80</v>
      </c>
      <c r="G44" s="33">
        <f>SUM(J44:J46)</f>
        <v>11</v>
      </c>
      <c r="H44" s="33">
        <f>G44/15</f>
        <v>0.73333333333333</v>
      </c>
      <c r="I44" s="51" t="s">
        <v>81</v>
      </c>
      <c r="J44" s="68">
        <v>5.0</v>
      </c>
      <c r="K44" s="53">
        <f>L45</f>
        <v>0.2</v>
      </c>
      <c r="L44" s="54">
        <v>1.0</v>
      </c>
      <c r="M44" s="55"/>
      <c r="N44" s="42"/>
    </row>
    <row r="45" spans="1:15" customHeight="1" ht="15.75">
      <c r="A45" s="49" t="s">
        <v>79</v>
      </c>
      <c r="B45" s="57">
        <f>E44</f>
        <v>0.73333333333333</v>
      </c>
      <c r="C45" s="108"/>
      <c r="D45" s="49"/>
      <c r="E45" s="50"/>
      <c r="F45" s="104"/>
      <c r="G45" s="33"/>
      <c r="H45" s="33"/>
      <c r="I45" s="51" t="s">
        <v>82</v>
      </c>
      <c r="J45" s="68">
        <v>1.0</v>
      </c>
      <c r="K45" s="53">
        <f>L46</f>
        <v>1</v>
      </c>
      <c r="L45" s="54">
        <v>0.2</v>
      </c>
      <c r="M45" s="55"/>
      <c r="N45" s="42"/>
    </row>
    <row r="46" spans="1:15" customHeight="1" ht="15.75">
      <c r="A46" s="49" t="s">
        <v>83</v>
      </c>
      <c r="B46" s="57">
        <f>E47</f>
        <v>0</v>
      </c>
      <c r="C46" s="108"/>
      <c r="D46" s="49"/>
      <c r="E46" s="50"/>
      <c r="F46" s="104"/>
      <c r="G46" s="33"/>
      <c r="H46" s="33"/>
      <c r="I46" s="51" t="s">
        <v>84</v>
      </c>
      <c r="J46" s="68">
        <v>5.0</v>
      </c>
      <c r="K46" s="53">
        <f>L47</f>
        <v>0</v>
      </c>
      <c r="L46" s="54">
        <v>1.0</v>
      </c>
      <c r="M46" s="55"/>
      <c r="N46" s="42"/>
    </row>
    <row r="47" spans="1:15" customHeight="1" ht="15.75">
      <c r="A47" s="49" t="s">
        <v>85</v>
      </c>
      <c r="B47" s="57">
        <f>E48</f>
        <v>0.2</v>
      </c>
      <c r="C47" s="49" t="s">
        <v>83</v>
      </c>
      <c r="D47" s="49">
        <f>G47</f>
        <v>0</v>
      </c>
      <c r="E47" s="50">
        <f>H47</f>
        <v>0</v>
      </c>
      <c r="F47" s="4" t="s">
        <v>86</v>
      </c>
      <c r="G47" s="33">
        <f>J47</f>
        <v>0</v>
      </c>
      <c r="H47" s="33">
        <f>G47/5</f>
        <v>0</v>
      </c>
      <c r="I47" s="51" t="s">
        <v>87</v>
      </c>
      <c r="J47" s="68">
        <v>0.0</v>
      </c>
      <c r="K47" s="53">
        <f>L48</f>
        <v>0</v>
      </c>
      <c r="L47" s="54">
        <v>0.0</v>
      </c>
      <c r="M47" s="55"/>
      <c r="N47" s="42"/>
    </row>
    <row r="48" spans="1:15" customHeight="1" ht="15.75">
      <c r="A48" s="49" t="s">
        <v>88</v>
      </c>
      <c r="B48" s="57">
        <f>E50</f>
        <v>0.5</v>
      </c>
      <c r="C48" s="108" t="s">
        <v>85</v>
      </c>
      <c r="D48" s="49">
        <f>G48</f>
        <v>2</v>
      </c>
      <c r="E48" s="50">
        <f>H48</f>
        <v>0.2</v>
      </c>
      <c r="F48" s="104" t="s">
        <v>89</v>
      </c>
      <c r="G48" s="33">
        <f>SUM(J48:J49)</f>
        <v>2</v>
      </c>
      <c r="H48" s="33">
        <f>G48/10</f>
        <v>0.2</v>
      </c>
      <c r="I48" s="51" t="s">
        <v>90</v>
      </c>
      <c r="J48" s="68">
        <v>0.0</v>
      </c>
      <c r="K48" s="53">
        <f>L49</f>
        <v>0.4</v>
      </c>
      <c r="L48" s="54">
        <v>0.0</v>
      </c>
      <c r="M48" s="55"/>
      <c r="N48" s="42"/>
    </row>
    <row r="49" spans="1:15" customHeight="1" ht="15.75">
      <c r="A49" s="59" t="s">
        <v>91</v>
      </c>
      <c r="B49" s="60">
        <f>E52</f>
        <v>0.66666666666667</v>
      </c>
      <c r="C49" s="108"/>
      <c r="D49" s="49"/>
      <c r="E49" s="50"/>
      <c r="F49" s="104"/>
      <c r="G49" s="33"/>
      <c r="H49" s="33"/>
      <c r="I49" s="51" t="s">
        <v>92</v>
      </c>
      <c r="J49" s="68">
        <v>2.0</v>
      </c>
      <c r="K49" s="53">
        <f>L50</f>
        <v>1</v>
      </c>
      <c r="L49" s="54">
        <v>0.4</v>
      </c>
      <c r="M49" s="55"/>
      <c r="N49" s="42"/>
    </row>
    <row r="50" spans="1:15" customHeight="1" ht="18.75">
      <c r="A50" s="49" t="s">
        <v>93</v>
      </c>
      <c r="B50" s="56">
        <f>SUM(D43:D54)/60</f>
        <v>0.55</v>
      </c>
      <c r="C50" s="108" t="s">
        <v>88</v>
      </c>
      <c r="D50" s="49">
        <f>G50</f>
        <v>5</v>
      </c>
      <c r="E50" s="50">
        <f>H50</f>
        <v>0.5</v>
      </c>
      <c r="F50" s="104" t="s">
        <v>94</v>
      </c>
      <c r="G50" s="33">
        <f>SUM(J50:J51)</f>
        <v>5</v>
      </c>
      <c r="H50" s="33">
        <f>G50/10</f>
        <v>0.5</v>
      </c>
      <c r="I50" s="51" t="s">
        <v>95</v>
      </c>
      <c r="J50" s="68">
        <v>5.0</v>
      </c>
      <c r="K50" s="53">
        <f>L51</f>
        <v>0</v>
      </c>
      <c r="L50" s="54">
        <v>1.0</v>
      </c>
      <c r="M50" s="55"/>
      <c r="N50" s="42"/>
    </row>
    <row r="51" spans="1:15" customHeight="1" ht="30.6">
      <c r="A51" s="58"/>
      <c r="B51" s="27"/>
      <c r="C51" s="108"/>
      <c r="D51" s="49"/>
      <c r="E51" s="50"/>
      <c r="F51" s="104"/>
      <c r="G51" s="33"/>
      <c r="H51" s="33"/>
      <c r="I51" s="51" t="s">
        <v>96</v>
      </c>
      <c r="J51" s="68">
        <v>0.0</v>
      </c>
      <c r="K51" s="53">
        <f>L52</f>
        <v>0.2</v>
      </c>
      <c r="L51" s="54">
        <v>0.0</v>
      </c>
      <c r="M51" s="55"/>
      <c r="N51" s="42"/>
    </row>
    <row r="52" spans="1:15" customHeight="1" ht="26.45">
      <c r="A52" s="61" t="s">
        <v>97</v>
      </c>
      <c r="B52" s="52">
        <f>H55</f>
        <v>1</v>
      </c>
      <c r="C52" s="108" t="s">
        <v>91</v>
      </c>
      <c r="D52" s="49">
        <f>G52</f>
        <v>10</v>
      </c>
      <c r="E52" s="50">
        <f>H52</f>
        <v>0.66666666666667</v>
      </c>
      <c r="F52" s="104" t="s">
        <v>98</v>
      </c>
      <c r="G52" s="33">
        <f>SUM(J52:J54)</f>
        <v>10</v>
      </c>
      <c r="H52" s="33">
        <f>G52/15</f>
        <v>0.66666666666667</v>
      </c>
      <c r="I52" s="51" t="s">
        <v>99</v>
      </c>
      <c r="J52" s="68">
        <v>1.0</v>
      </c>
      <c r="K52" s="53">
        <f>L53</f>
        <v>1</v>
      </c>
      <c r="L52" s="54">
        <v>0.2</v>
      </c>
      <c r="M52" s="55"/>
      <c r="N52" s="42"/>
    </row>
    <row r="53" spans="1:15" customHeight="1" ht="30">
      <c r="A53" s="61" t="s">
        <v>100</v>
      </c>
      <c r="B53" s="52">
        <f>H56</f>
        <v>1</v>
      </c>
      <c r="C53" s="108"/>
      <c r="D53" s="49"/>
      <c r="E53" s="50"/>
      <c r="F53" s="104"/>
      <c r="G53" s="33"/>
      <c r="H53" s="33"/>
      <c r="I53" s="51" t="s">
        <v>101</v>
      </c>
      <c r="J53" s="68">
        <v>5.0</v>
      </c>
      <c r="K53" s="53">
        <f>L54</f>
        <v>0.8</v>
      </c>
      <c r="L53" s="54">
        <v>1.0</v>
      </c>
      <c r="M53" s="55"/>
      <c r="N53" s="42"/>
    </row>
    <row r="54" spans="1:15" customHeight="1" ht="18.75">
      <c r="A54" s="61" t="s">
        <v>102</v>
      </c>
      <c r="B54" s="52">
        <f>H57</f>
        <v>0.6</v>
      </c>
      <c r="C54" s="108"/>
      <c r="D54" s="49"/>
      <c r="E54" s="50"/>
      <c r="F54" s="104"/>
      <c r="G54" s="33"/>
      <c r="H54" s="33"/>
      <c r="I54" s="51" t="s">
        <v>103</v>
      </c>
      <c r="J54" s="68">
        <v>4.0</v>
      </c>
      <c r="K54" s="53">
        <f>L55</f>
        <v>1</v>
      </c>
      <c r="L54" s="54">
        <v>0.8</v>
      </c>
      <c r="M54" s="55"/>
      <c r="N54" s="42"/>
    </row>
    <row r="55" spans="1:15" customHeight="1" ht="18.75">
      <c r="A55" s="102" t="s">
        <v>104</v>
      </c>
      <c r="B55" s="102"/>
      <c r="C55" s="49" t="s">
        <v>105</v>
      </c>
      <c r="D55" s="49">
        <f>G55</f>
        <v>5</v>
      </c>
      <c r="E55" s="50">
        <f>H55</f>
        <v>1</v>
      </c>
      <c r="F55" s="32" t="s">
        <v>97</v>
      </c>
      <c r="G55" s="33">
        <f>J55</f>
        <v>5</v>
      </c>
      <c r="H55" s="62">
        <f>G55/5</f>
        <v>1</v>
      </c>
      <c r="I55" s="51" t="s">
        <v>106</v>
      </c>
      <c r="J55" s="68">
        <v>5.0</v>
      </c>
      <c r="K55" s="53">
        <f>L56</f>
        <v>1</v>
      </c>
      <c r="L55" s="54">
        <v>1.0</v>
      </c>
      <c r="M55" s="55"/>
      <c r="N55" s="42"/>
    </row>
    <row r="56" spans="1:15" customHeight="1" ht="25.9">
      <c r="A56" s="63" t="s">
        <v>107</v>
      </c>
      <c r="B56" s="56">
        <f>SUM(D55:D57)/15</f>
        <v>0.86666666666667</v>
      </c>
      <c r="C56" s="108" t="s">
        <v>108</v>
      </c>
      <c r="D56" s="49">
        <f>SUM(G56:G57)</f>
        <v>8</v>
      </c>
      <c r="E56" s="50">
        <f>D56/10</f>
        <v>0.8</v>
      </c>
      <c r="F56" s="4" t="s">
        <v>100</v>
      </c>
      <c r="G56" s="33">
        <f>J56</f>
        <v>5</v>
      </c>
      <c r="H56" s="62">
        <f>G56/5</f>
        <v>1</v>
      </c>
      <c r="I56" s="51" t="s">
        <v>109</v>
      </c>
      <c r="J56" s="68">
        <v>5.0</v>
      </c>
      <c r="K56" s="53">
        <f>L57</f>
        <v>0.6</v>
      </c>
      <c r="L56" s="54">
        <v>1.0</v>
      </c>
      <c r="M56" s="55"/>
      <c r="N56" s="42"/>
    </row>
    <row r="57" spans="1:15" customHeight="1" ht="18.75">
      <c r="A57" s="58"/>
      <c r="B57" s="27"/>
      <c r="C57" s="108"/>
      <c r="D57" s="49"/>
      <c r="E57" s="50"/>
      <c r="F57" s="32" t="s">
        <v>102</v>
      </c>
      <c r="G57" s="33">
        <f>J57</f>
        <v>3</v>
      </c>
      <c r="H57" s="62">
        <f>G57/5</f>
        <v>0.6</v>
      </c>
      <c r="I57" s="51" t="s">
        <v>110</v>
      </c>
      <c r="J57" s="68">
        <v>3.0</v>
      </c>
      <c r="K57" s="53">
        <f>L58</f>
        <v>0</v>
      </c>
      <c r="L57" s="54">
        <v>0.6</v>
      </c>
      <c r="M57" s="55"/>
      <c r="N57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2:F54"/>
    <mergeCell ref="C56:C57"/>
    <mergeCell ref="C23:C34"/>
    <mergeCell ref="C35:C42"/>
    <mergeCell ref="C44:C46"/>
    <mergeCell ref="C48:C49"/>
    <mergeCell ref="C50:C51"/>
    <mergeCell ref="C52:C54"/>
    <mergeCell ref="A11:B11"/>
    <mergeCell ref="F40:F42"/>
    <mergeCell ref="F44:F46"/>
    <mergeCell ref="F48:F49"/>
    <mergeCell ref="F50:F51"/>
    <mergeCell ref="C11:C15"/>
    <mergeCell ref="C16:C22"/>
    <mergeCell ref="M9:N9"/>
    <mergeCell ref="A1:N1"/>
    <mergeCell ref="A55:B55"/>
    <mergeCell ref="A43:B43"/>
    <mergeCell ref="F35:F36"/>
    <mergeCell ref="F37:F38"/>
    <mergeCell ref="A10:B10"/>
    <mergeCell ref="F11:F12"/>
    <mergeCell ref="K10:L10"/>
    <mergeCell ref="F23:F26"/>
    <mergeCell ref="F27:F29"/>
    <mergeCell ref="F30:F32"/>
    <mergeCell ref="F33:F34"/>
    <mergeCell ref="F13:F14"/>
    <mergeCell ref="F16:F18"/>
    <mergeCell ref="F19:F21"/>
  </mergeCells>
  <conditionalFormatting sqref="L12:L57">
    <cfRule type="cellIs" dxfId="0" priority="1" operator="greaterThan">
      <formula>0.79</formula>
    </cfRule>
  </conditionalFormatting>
  <conditionalFormatting sqref="L12:L57">
    <cfRule type="cellIs" dxfId="1" priority="2" operator="between">
      <formula>0.39</formula>
      <formula>0.79</formula>
    </cfRule>
  </conditionalFormatting>
  <conditionalFormatting sqref="L12:L57">
    <cfRule type="cellIs" dxfId="2" priority="3" operator="lessThan">
      <formula>0.4</formula>
    </cfRule>
  </conditionalFormatting>
  <conditionalFormatting sqref="L11">
    <cfRule type="cellIs" dxfId="0" priority="4" operator="greaterThan">
      <formula>0.79</formula>
    </cfRule>
  </conditionalFormatting>
  <conditionalFormatting sqref="L11">
    <cfRule type="cellIs" dxfId="1" priority="5" operator="between">
      <formula>0.39</formula>
      <formula>0.79</formula>
    </cfRule>
  </conditionalFormatting>
  <conditionalFormatting sqref="L11">
    <cfRule type="cellIs" dxfId="2" priority="6" operator="lessThan">
      <formula>0.4</formula>
    </cfRule>
  </conditionalFormatting>
  <conditionalFormatting sqref="K11:K57">
    <cfRule type="dataBar" priority="7">
      <dataBar showValue="1">
        <cfvo type="min"/>
        <cfvo type="max"/>
        <color rgb="FF638EC6"/>
      </dataBar>
      <extLst>
        <ext uri="{B025F937-C7B1-47D3-B67F-A62EFF666E3E}">
          <x14:id>{006CBCF1-3F4A-459A-BEAD-4FC2CA681ECE}</x14:id>
        </ext>
      </extLst>
    </cfRule>
  </conditionalFormatting>
  <conditionalFormatting sqref="K11:K57">
    <cfRule type="dataBar" priority="8">
      <dataBar>
        <cfvo type="min"/>
        <cfvo type="max"/>
        <color rgb="FF008AEF"/>
      </dataBar>
    </cfRule>
  </conditionalFormatting>
  <conditionalFormatting sqref="K11">
    <cfRule type="dataBar" priority="9">
      <dataBar>
        <cfvo type="min"/>
        <cfvo type="max"/>
        <color rgb="FF638EC6"/>
      </dataBar>
      <extLst>
        <ext uri="{B025F937-C7B1-47D3-B67F-A62EFF666E3E}">
          <x14:id>{3A94FD60-4D91-4B9F-A713-5BA7DEF7F50B}</x14:id>
        </ext>
      </extLst>
    </cfRule>
  </conditionalFormatting>
  <printOptions gridLines="false" gridLinesSet="true" horizontalCentered="true"/>
  <pageMargins left="0" right="0" top="0.42" bottom="0.75" header="0.3" footer="0.3"/>
  <pageSetup paperSize="9" orientation="landscape" scale="46" fitToHeight="1" fitToWidth="1" pageOrder="downThenOver" r:id="rId1"/>
  <headerFooter differentOddEven="false" differentFirst="false" scaleWithDoc="true" alignWithMargins="true">
    <oddHeader>&amp;L     dicetak melalui aplikasi idm.kemendesa.go.id</oddHeader>
    <oddFooter/>
    <evenHeader/>
    <evenFooter/>
    <firstHeader/>
    <firstFooter/>
  </headerFooter>
  <extLst>
    <ext uri="{78C0D931-6437-407d-A8EE-F0AAD7539E65}">
      <x14:conditionalFormattings>
        <x14:conditionalFormatting>
          <x14:cfRule type="dataBar" id="{006CBCF1-3F4A-459A-BEAD-4FC2CA681E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K11:K57</xm:sqref>
        </x14:conditionalFormatting>
        <x14:conditionalFormatting>
          <x14:cfRule type="dataBar" id="{3A94FD60-4D91-4B9F-A713-5BA7DEF7F5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B0F0"/>
    <outlinePr summaryBelow="1" summaryRight="1"/>
    <pageSetUpPr fitToPage="1"/>
  </sheetPr>
  <dimension ref="A1:N65"/>
  <sheetViews>
    <sheetView tabSelected="0" workbookViewId="0" zoomScale="70" zoomScaleNormal="70" view="pageBreakPreview" showGridLines="true" showRowColHeaders="1">
      <selection activeCell="A1" sqref="A1:L1"/>
    </sheetView>
  </sheetViews>
  <sheetFormatPr defaultRowHeight="14.4" outlineLevelRow="0" outlineLevelCol="0"/>
  <cols>
    <col min="1" max="1" width="4.7109375" customWidth="true" style="7"/>
    <col min="2" max="2" width="41.28515625" customWidth="true" style="21"/>
    <col min="3" max="3" width="5.5703125" customWidth="true" style="21"/>
    <col min="4" max="4" width="76.28515625" customWidth="true" style="21"/>
    <col min="5" max="5" width="75.42578125" customWidth="true" style="21"/>
    <col min="6" max="6" width="16.28515625" customWidth="true" style="22"/>
    <col min="7" max="7" width="21.140625" customWidth="true" style="21"/>
    <col min="8" max="8" width="27" customWidth="true" style="21"/>
    <col min="9" max="9" width="21" customWidth="true" style="22"/>
    <col min="10" max="10" width="15.7109375" customWidth="true" style="21"/>
    <col min="11" max="11" width="6" customWidth="true" style="24"/>
    <col min="12" max="12" width="18.7109375" customWidth="true" style="23"/>
    <col min="13" max="13" width="14.85546875" customWidth="true" style="24"/>
    <col min="14" max="14" width="14.5703125" customWidth="true" style="0"/>
  </cols>
  <sheetData>
    <row r="1" spans="1:14" customHeight="1" ht="31.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91"/>
      <c r="N1" s="91"/>
    </row>
    <row r="2" spans="1:14" customHeight="1" ht="31.5">
      <c r="A2" s="86"/>
      <c r="B2" s="87" t="s">
        <v>112</v>
      </c>
      <c r="C2" s="109" t="s">
        <v>9</v>
      </c>
      <c r="D2" s="110"/>
      <c r="E2" s="88" t="s">
        <v>113</v>
      </c>
      <c r="F2" s="114">
        <f>C64</f>
        <v>0.75793650793651</v>
      </c>
      <c r="G2" s="114"/>
      <c r="H2" s="85"/>
      <c r="I2" s="85"/>
      <c r="J2" s="85"/>
      <c r="K2" s="85"/>
      <c r="L2" s="85"/>
      <c r="M2" s="67"/>
      <c r="N2" s="67"/>
    </row>
    <row r="3" spans="1:14" customHeight="1" ht="31.5">
      <c r="A3" s="86"/>
      <c r="B3" s="87" t="s">
        <v>114</v>
      </c>
      <c r="C3" s="109" t="s">
        <v>7</v>
      </c>
      <c r="D3" s="110"/>
      <c r="E3" s="88" t="s">
        <v>115</v>
      </c>
      <c r="F3" s="115" t="str">
        <f>IF(F2&lt;=0.4907,"Sangat Tertinggal",IF(AND(F2&gt;0.4907,F2&lt;=0.5989),"Tertinggal",IF(AND(F2&gt;0.5989,F2&lt;=0.7072),"Berkembang",IF(AND(F2&gt;0.7072,F2&lt;=0.8155),"Maju",IF(AND(F2&gt;0.8155),"Mandiri")))))</f>
        <v>Maju</v>
      </c>
      <c r="G3" s="115"/>
      <c r="H3" s="85"/>
      <c r="I3" s="85"/>
      <c r="J3" s="85"/>
      <c r="K3" s="85"/>
      <c r="L3" s="85"/>
      <c r="M3" s="67"/>
      <c r="N3" s="67"/>
    </row>
    <row r="4" spans="1:14" customHeight="1" ht="31.5">
      <c r="A4" s="86"/>
      <c r="B4" s="87" t="s">
        <v>116</v>
      </c>
      <c r="C4" s="109" t="s">
        <v>5</v>
      </c>
      <c r="D4" s="110"/>
      <c r="E4" s="89" t="s">
        <v>117</v>
      </c>
      <c r="F4" s="116" t="str">
        <f>IF(F3="Mandiri","Mandiri",IF(F3="Maju","Mandiri",IF(F3="Berkembang","Maju",IF(F3="Tertinggal","Berkembang",IF(F3="Sangat Tertinggal","Tertinggal")))))</f>
        <v>Mandiri</v>
      </c>
      <c r="G4" s="116"/>
      <c r="H4" s="90"/>
      <c r="I4" s="85"/>
      <c r="J4" s="85"/>
      <c r="K4" s="85"/>
      <c r="L4" s="85"/>
      <c r="M4" s="67"/>
      <c r="N4" s="67"/>
    </row>
    <row r="5" spans="1:14" customHeight="1" ht="31.5">
      <c r="A5" s="86"/>
      <c r="B5" s="87" t="s">
        <v>118</v>
      </c>
      <c r="C5" s="109" t="s">
        <v>3</v>
      </c>
      <c r="D5" s="110"/>
      <c r="E5" s="89" t="s">
        <v>119</v>
      </c>
      <c r="F5" s="116" t="str">
        <f>IF(F4="Tertinggal","0.4908",IF(F4="Berkembang","0.5990",IF(F4="Maju","0.7073",IF(F4="Mandiri","0.8156"))))</f>
        <v>0.8156</v>
      </c>
      <c r="G5" s="116"/>
      <c r="H5" s="85"/>
      <c r="I5" s="85"/>
      <c r="J5" s="85"/>
      <c r="K5" s="85"/>
      <c r="L5" s="85"/>
      <c r="M5" s="67"/>
      <c r="N5" s="67"/>
    </row>
    <row r="6" spans="1:14" customHeight="1" ht="31.5">
      <c r="A6" s="86"/>
      <c r="B6" s="86"/>
      <c r="C6" s="92"/>
      <c r="D6" s="87"/>
      <c r="E6" s="89" t="s">
        <v>120</v>
      </c>
      <c r="F6" s="117">
        <f>F5-F2</f>
        <v>0.057663492063492</v>
      </c>
      <c r="G6" s="117"/>
      <c r="H6" s="85"/>
      <c r="I6" s="85"/>
      <c r="J6" s="85"/>
      <c r="K6" s="85"/>
      <c r="L6" s="85"/>
      <c r="M6" s="67"/>
      <c r="N6" s="67"/>
    </row>
    <row r="7" spans="1:14" customHeight="1" ht="31.5">
      <c r="A7" s="67"/>
      <c r="B7" s="67"/>
      <c r="C7" s="93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customHeight="1" ht="18.75">
      <c r="A8" s="118" t="s">
        <v>121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  <c r="M8" s="24"/>
    </row>
    <row r="9" spans="1:14">
      <c r="A9" s="121" t="s">
        <v>122</v>
      </c>
      <c r="B9" s="121" t="s">
        <v>123</v>
      </c>
      <c r="C9" s="121" t="s">
        <v>16</v>
      </c>
      <c r="D9" s="121" t="s">
        <v>124</v>
      </c>
      <c r="E9" s="121" t="s">
        <v>125</v>
      </c>
      <c r="F9" s="122" t="s">
        <v>126</v>
      </c>
      <c r="G9" s="123" t="s">
        <v>127</v>
      </c>
      <c r="H9" s="124"/>
      <c r="I9" s="124"/>
      <c r="J9" s="124"/>
      <c r="K9" s="124"/>
      <c r="L9" s="125"/>
      <c r="M9" s="24"/>
    </row>
    <row r="10" spans="1:14">
      <c r="A10" s="121"/>
      <c r="B10" s="121"/>
      <c r="C10" s="121"/>
      <c r="D10" s="121"/>
      <c r="E10" s="121"/>
      <c r="F10" s="121"/>
      <c r="G10" s="80" t="s">
        <v>128</v>
      </c>
      <c r="H10" s="80" t="s">
        <v>129</v>
      </c>
      <c r="I10" s="80" t="s">
        <v>130</v>
      </c>
      <c r="J10" s="80" t="s">
        <v>131</v>
      </c>
      <c r="K10" s="80" t="s">
        <v>132</v>
      </c>
      <c r="L10" s="80" t="s">
        <v>133</v>
      </c>
      <c r="M10" s="24"/>
    </row>
    <row r="11" spans="1:14">
      <c r="A11" s="95">
        <v>1</v>
      </c>
      <c r="B11" s="95" t="s">
        <v>134</v>
      </c>
      <c r="C11" s="81">
        <v>5</v>
      </c>
      <c r="D11" s="96" t="str">
        <f>IF(C11=5,"Waktu tempuh dari ≤ 30  Menit",IF(C11=4,"Waktu tempuh antara 31 s.d 60 Menit",IF(C11=3,"Waktu tempuh antara 61 s.d 90 Menit",IF(C11=2,"Waktu tempuh antara 91 s.d 120 Menit",IF(C11=1,"Waktu tempuh lebih dari120 Menit")))))</f>
        <v>Waktu tempuh dari ≤ 30  Menit</v>
      </c>
      <c r="E11" s="96" t="str">
        <f>IF(C11=5,"-",IF(C11=4,"-",IF(C11=3,"perbaikan akses jalan menuju sarana kesehatan",IF(C11=2,"perbaikan akses jalan menuju sarana kesehatan",IF(C11=1,"Pembangunan sarana kesehatan")))))</f>
        <v>-</v>
      </c>
      <c r="F11" s="82" t="str">
        <f>IF(C11=5,"0",IF(C11=4,"0.00190476",IF(C11=3,"0.00380952",IF(C11=2,"0.00571429",IF(C11=1,"0.00761905")))))</f>
        <v>0</v>
      </c>
      <c r="G11" s="82"/>
      <c r="H11" s="82"/>
      <c r="I11" s="82" t="s">
        <v>135</v>
      </c>
      <c r="J11" s="82"/>
      <c r="K11" s="82"/>
      <c r="L11" s="82"/>
      <c r="M11" s="24"/>
    </row>
    <row r="12" spans="1:14">
      <c r="A12" s="95">
        <v>2</v>
      </c>
      <c r="B12" s="95" t="s">
        <v>136</v>
      </c>
      <c r="C12" s="81">
        <v>0</v>
      </c>
      <c r="D12" s="96" t="str">
        <f>IF(C12=5,"Jumlah dokter ≥ 1 orang",IF(C12=0,"Jumlah Dokter Tidak ada"))</f>
        <v>Jumlah Dokter Tidak ada</v>
      </c>
      <c r="E12" s="96" t="str">
        <f>IF(C12=5,"-",IF(C12=0,"Pengadaan Min 1 org Dokter"))</f>
        <v>Pengadaan Min 1 org Dokter</v>
      </c>
      <c r="F12" s="82" t="str">
        <f>IF(C12=5,"0",IF(C12=4,"0.00190476",IF(C12=3,"0.00380952",IF(C12=2,"0.00571429",IF(C12=1,"0.00761905",IF(C12=0,"0.00952381"))))))</f>
        <v>0.00952381</v>
      </c>
      <c r="G12" s="82"/>
      <c r="H12" s="82"/>
      <c r="I12" s="82" t="s">
        <v>137</v>
      </c>
      <c r="J12" s="82"/>
      <c r="K12" s="82"/>
      <c r="L12" s="82"/>
      <c r="M12" s="24"/>
    </row>
    <row r="13" spans="1:14">
      <c r="A13" s="95">
        <v>3</v>
      </c>
      <c r="B13" s="95" t="s">
        <v>138</v>
      </c>
      <c r="C13" s="81">
        <v>5</v>
      </c>
      <c r="D13" s="96" t="str">
        <f>IF(C13=5,"Jumlah bidan ≥ 1 orang",IF(C13=1,"Jumlah bidan Tidak ada"))</f>
        <v>Jumlah bidan ≥ 1 orang</v>
      </c>
      <c r="E13" s="96" t="str">
        <f>IF(C13=5,"-",IF(C13=1,"Pengadaan Min 1 org Bidan"))</f>
        <v>-</v>
      </c>
      <c r="F13" s="82" t="str">
        <f>IF(C13=5,"0",IF(C13=4,"0.00190476",IF(C13=3,"0.00380952",IF(C13=2,"0.00571429",IF(C13=1,"0.00761905",IF(C13=0,"0.00952381"))))))</f>
        <v>0</v>
      </c>
      <c r="G13" s="82"/>
      <c r="H13" s="82"/>
      <c r="I13" s="82" t="s">
        <v>137</v>
      </c>
      <c r="J13" s="82"/>
      <c r="K13" s="82"/>
      <c r="L13" s="82"/>
      <c r="M13" s="24"/>
    </row>
    <row r="14" spans="1:14">
      <c r="A14" s="95">
        <v>4</v>
      </c>
      <c r="B14" s="95" t="s">
        <v>139</v>
      </c>
      <c r="C14" s="81">
        <v>2</v>
      </c>
      <c r="D14" s="96" t="str">
        <f>IF(C14=5,"Jumlah tenaga kesehatan lainnya ≥ 5 orang",IF(C14=4,"Jumlah tenaga kesehatan lainnya 3 s.d 4 orang",IF(C14=3,"Jumlah tenaga kesehatan lainnya 2 orang",IF(C14=2,"Jumlah tenaga kesehatan lainnya 1 orang",IF(C14=0,"Jumlah tenaga kesehatan lainnya tidak ada")))))</f>
        <v>Jumlah tenaga kesehatan lainnya 1 orang</v>
      </c>
      <c r="E14" s="96" t="str">
        <f>IF(C14=5,"-",IF(C14=4,"Penambahan Nakes Min 2 Org",IF(C14=3,"Penambahan Nakes Min 3 Org",IF(C14=2,"Penambahan Nakes Min 4 Org",IF(C14=0,"Pengadaan Nakes Min 5  Org")))))</f>
        <v>Penambahan Nakes Min 4 Org</v>
      </c>
      <c r="F14" s="82" t="str">
        <f>IF(C14=5,"0",IF(C14=4,"0.00190476",IF(C14=3,"0.00380952",IF(C14=2,"0.00571429",IF(C14=1,"0.00761905",IF(C14=0,"0.00952381"))))))</f>
        <v>0.00571429</v>
      </c>
      <c r="G14" s="82"/>
      <c r="H14" s="82"/>
      <c r="I14" s="82" t="s">
        <v>137</v>
      </c>
      <c r="J14" s="82"/>
      <c r="K14" s="82"/>
      <c r="L14" s="82"/>
      <c r="M14" s="24"/>
    </row>
    <row r="15" spans="1:14">
      <c r="A15" s="95">
        <v>5</v>
      </c>
      <c r="B15" s="95" t="s">
        <v>140</v>
      </c>
      <c r="C15" s="81">
        <v>5</v>
      </c>
      <c r="D15" s="96" t="str">
        <f>IF(C15=5,"Jumlah peserta BPJS/jumlah penduduk &gt; 0,75",IF(C15=4,"Jumlah peserta BPJS/jumlah penduduk antara 0,6 s.d 0,75",IF(C15=3,"Jumlah peserta BPJS/jumlah penduduk antara 0,26 s.d 0,5",IF(C15=2,"Jumlah peserta BPJS/jumlah penduduk antara 0,1 s.d 0,25",IF(C15=1,"Jumlah peserta BPJS/jumlah penduduk &lt; 0,1")))))</f>
        <v>Jumlah peserta BPJS/jumlah penduduk &gt; 0,75</v>
      </c>
      <c r="E15" s="96" t="str">
        <f>IF(C15=5,"-",IF(C15=4,"Fasilitasi kepesertaan BPJS warga Desa hingga &gt; 75%",IF(C15=3,"Fasilitasi kepesertaan BPJS warga Desa hingga &gt; 75%",IF(C15=2,"Fasilitasi kepesertaan BPJS warga Desa hingga &gt; 75%",IF(C15=1,"Fasilitasi kepesertaan BPJS warga Desa hingga &gt; 75%")))))</f>
        <v>-</v>
      </c>
      <c r="F15" s="82" t="str">
        <f>IF(C15=5,"0",IF(C15=4,"0.00190476",IF(C15=3,"0.00380952",IF(C15=2,"0.00571429",IF(C15=1,"0.00761905",IF(C15=0,"0.00952381"))))))</f>
        <v>0</v>
      </c>
      <c r="G15" s="82"/>
      <c r="H15" s="82"/>
      <c r="I15" s="82" t="s">
        <v>137</v>
      </c>
      <c r="J15" s="82"/>
      <c r="K15" s="82"/>
      <c r="L15" s="82" t="s">
        <v>141</v>
      </c>
      <c r="M15" s="24"/>
    </row>
    <row r="16" spans="1:14">
      <c r="A16" s="95">
        <v>6</v>
      </c>
      <c r="B16" s="95" t="s">
        <v>142</v>
      </c>
      <c r="C16" s="81">
        <v>5</v>
      </c>
      <c r="D16" s="96" t="str">
        <f>IF(C16=5,"Jarak tempuh menuju Poskesdes = 500 Meter",IF(C16=4,"Jarak tempuh menuju Poskesdes 501 s.d 1000 Meter",IF(C16=3,"Jarak tempuh menuju Poskesdes = 1001 s.d 2000 Meter",IF(C16=2,"Jarak tempuh menuju Poskesdes = 2001 s.d 3500 Meter",IF(C16=1,"Jarak tempuh menuju Poskesdes &gt; 3500 Meter")))))</f>
        <v>Jarak tempuh menuju Poskesdes = 500 Meter</v>
      </c>
      <c r="E16" s="96" t="str">
        <f>IF(C16=5,"-",IF(C16=4,"-",IF(C16=3,"-",IF(C16=2,"-",IF(C16=1,"Pembangunan Poskesdes")))))</f>
        <v>-</v>
      </c>
      <c r="F16" s="82" t="str">
        <f>IF(C16=5,"0",IF(C16=4,"0.00190476",IF(C16=3,"0.00380952",IF(C16=2,"0.00571429",IF(C16=1,"0.00761905",IF(C16=0,"0.00952381"))))))</f>
        <v>0</v>
      </c>
      <c r="G16" s="82"/>
      <c r="H16" s="82"/>
      <c r="I16" s="82" t="s">
        <v>137</v>
      </c>
      <c r="J16" s="82"/>
      <c r="K16" s="82"/>
      <c r="L16" s="82"/>
      <c r="M16" s="24"/>
    </row>
    <row r="17" spans="1:14">
      <c r="A17" s="95">
        <v>7</v>
      </c>
      <c r="B17" s="95" t="s">
        <v>143</v>
      </c>
      <c r="C17" s="81">
        <v>5</v>
      </c>
      <c r="D17" s="96" t="str">
        <f>IF(C17=5,"Jumlah Posyandu aktif 1 bulan sekali/ Jumlah Posyandu &gt; 0,75",IF(C17=4,"Jumlah Posyandu aktif 1 bulan sekali/ Jumlah Posyandu antara 0,6 s.d 0,75",IF(C17=3,"Jumlah Posyandu aktif 1 bulan sekali/ Jumlah Posyandu antara 0,26 s.d 0,5",IF(C17=2,"Jumlah Posyandu aktif 1 bulan sekali/ Jumlah Posyandu antara 0,1 s.d 0,25",IF(C17=1,"Jumlah Posyandu aktif 1 bulan sekali/ Jumlah Posyandu &lt; 0,1")))))</f>
        <v>Jumlah Posyandu aktif 1 bulan sekali/ Jumlah Posyandu &gt; 0,75</v>
      </c>
      <c r="E17" s="96" t="str">
        <f>IF(C17=5,"-",IF(C17=4,"Fasilitasi/pembinaan kader Posyandu",IF(C17=3,"Fasilitasi/pembinaan kader Posyandu",IF(C17=2,"Fasilitasi/pembinaan kader Posyandu",IF(C17=1,"Fasilitasi/pembinaan kader Posyandu")))))</f>
        <v>-</v>
      </c>
      <c r="F17" s="82" t="str">
        <f>IF(C17=5,"0",IF(C17=4,"0.00190476",IF(C17=3,"0.00380952",IF(C17=2,"0.00571429",IF(C17=1,"0.00761905",IF(C17=0,"0.00952381"))))))</f>
        <v>0</v>
      </c>
      <c r="G17" s="82"/>
      <c r="H17" s="82" t="s">
        <v>144</v>
      </c>
      <c r="I17" s="82" t="s">
        <v>145</v>
      </c>
      <c r="J17" s="82" t="s">
        <v>146</v>
      </c>
      <c r="K17" s="82"/>
      <c r="L17" s="82"/>
      <c r="M17" s="24"/>
    </row>
    <row r="18" spans="1:14">
      <c r="A18" s="95">
        <v>8</v>
      </c>
      <c r="B18" s="95" t="s">
        <v>147</v>
      </c>
      <c r="C18" s="81">
        <v>5</v>
      </c>
      <c r="D18" s="96" t="str">
        <f>IF(C18=5,"Jarak tempuh menuju SD atau MI = 3000 Meter",IF(C18=4,"Jarak tempuh menuju SD atau MI antara 3000,01 s.d 6000 Meter",IF(C18=3,"Jarak tempuh menuju SD atau MI antara 6000,01 s.d 8000 Meter",IF(C18=2,"Jarak tempuh menuju SD atau MI antara 8000,01 s.d 10000 Meter",IF(C18=1,"Jarak tempuh menuju SD atau MI antara &gt; 10000 Meter")))))</f>
        <v>Jarak tempuh menuju SD atau MI = 3000 Meter</v>
      </c>
      <c r="E18" s="96" t="str">
        <f>IF(C18=5,"-",IF(C18=4,"Perbaikan Akses",IF(C18=3,"Pembangunan SD",IF(C18=2,"Pembangunan SD",IF(C18=1,"Pembangunan SD")))))</f>
        <v>-</v>
      </c>
      <c r="F18" s="82" t="str">
        <f>IF(C18=5,"0",IF(C18=4,"0.00190476",IF(C18=3,"0.00380952",IF(C18=2,"0.00571429",IF(C18=1,"0.00761905",IF(C18=0,"0.00952381"))))))</f>
        <v>0</v>
      </c>
      <c r="G18" s="82"/>
      <c r="H18" s="82"/>
      <c r="I18" s="82" t="s">
        <v>148</v>
      </c>
      <c r="J18" s="82"/>
      <c r="K18" s="82"/>
      <c r="L18" s="82"/>
      <c r="M18" s="24"/>
    </row>
    <row r="19" spans="1:14">
      <c r="A19" s="95">
        <v>9</v>
      </c>
      <c r="B19" s="95" t="s">
        <v>149</v>
      </c>
      <c r="C19" s="81">
        <v>5</v>
      </c>
      <c r="D19" s="96" t="str">
        <f>IF(C19=5,"Jarak tempuh menuju SMP atau MTs ≤ 6000 Meter",IF(C19=4,"Jarak tempuh menuju SMP atau MTs antara 6000,01 s.d 8000 Meter",IF(C19=3,"Jarak tempuh menuju SMP atau MTs antara 8000,01 s.d 10000 Meter",IF(C19=2,"Jarak tempuh menuju SMP atau MTs antara 10000,01 s.d 11999,99 Meter",IF(C19=1,"Jarak tempuh menuju SMP atau MTs &gt; 12000 Meter")))))</f>
        <v>Jarak tempuh menuju SMP atau MTs ≤ 6000 Meter</v>
      </c>
      <c r="E19" s="96" t="str">
        <f>IF(C19=5,"-",IF(C19=4,"Perbaikan Akses",IF(C19=3,"Perbaikan Akses",IF(C19=2,"Pembangunan SMP",IF(C19=1,"Pembangunan SMP")))))</f>
        <v>-</v>
      </c>
      <c r="F19" s="82" t="str">
        <f>IF(C19=5,"0",IF(C19=4,"0.00190476",IF(C19=3,"0.00380952",IF(C19=2,"0.00571429",IF(C19=1,"0.00761905",IF(C19=0,"0.00952381"))))))</f>
        <v>0</v>
      </c>
      <c r="G19" s="82"/>
      <c r="H19" s="82"/>
      <c r="I19" s="82" t="s">
        <v>148</v>
      </c>
      <c r="J19" s="82"/>
      <c r="K19" s="82"/>
      <c r="L19" s="82"/>
      <c r="M19" s="24"/>
    </row>
    <row r="20" spans="1:14">
      <c r="A20" s="95">
        <v>10</v>
      </c>
      <c r="B20" s="95" t="s">
        <v>150</v>
      </c>
      <c r="C20" s="81">
        <v>5</v>
      </c>
      <c r="D20" s="96" t="str">
        <f>IF(C20=5,"Jarak tempuh menuju SMU atau SMK ≤ 6000 Meter",IF(C20=4,"Jarak tempuh menuju SMU atau SMK antara 6000,01 s.d 8000 Meter",IF(C20=3,"Jarak tempuh menuju SMU atau SMK antara 8000,01 s.d 10000 Meter",IF(C20=2,"Jarak tempuh menuju SMU atau SMK antara 10000,01 s.d 11999,99 Meter",IF(C20=1,"Jarak tempuh menuju SMU atau SMK &gt; 12000 Meter")))))</f>
        <v>Jarak tempuh menuju SMU atau SMK ≤ 6000 Meter</v>
      </c>
      <c r="E20" s="96" t="str">
        <f>IF(C20=5,"-",IF(C20=4,"Perbaikan Akses",IF(C20=3,"Perbaikan Akses",IF(C20=2,"Pembangunan SMU",IF(C20=1,"Pembangunan SMU")))))</f>
        <v>-</v>
      </c>
      <c r="F20" s="82" t="str">
        <f>IF(C20=5,"0",IF(C20=4,"0.00190476",IF(C20=3,"0.00380952",IF(C20=2,"0.00571429",IF(C20=1,"0.00761905",IF(C20=0,"0.00952381"))))))</f>
        <v>0</v>
      </c>
      <c r="G20" s="82"/>
      <c r="H20" s="82" t="s">
        <v>151</v>
      </c>
      <c r="I20" s="82" t="s">
        <v>152</v>
      </c>
      <c r="J20" s="82"/>
      <c r="K20" s="82"/>
      <c r="L20" s="82"/>
      <c r="M20" s="24"/>
    </row>
    <row r="21" spans="1:14">
      <c r="A21" s="95">
        <v>11</v>
      </c>
      <c r="B21" s="95" t="s">
        <v>153</v>
      </c>
      <c r="C21" s="81">
        <v>5</v>
      </c>
      <c r="D21" s="96" t="str">
        <f>IF(C21=5,"Jumlah PAUD ≥ 1 ",IF(C21=1,"Jumlah PAUD Tidak ada"))</f>
        <v>Jumlah PAUD ≥ 1 </v>
      </c>
      <c r="E21" s="96" t="str">
        <f>IF(C21=5,"-",IF(C21=1,"Pembangunan 1 Unit PAUD"))</f>
        <v>-</v>
      </c>
      <c r="F21" s="82" t="str">
        <f>IF(C21=5,"0",IF(C21=4,"0.00190476",IF(C21=3,"0.00380952",IF(C21=2,"0.00571429",IF(C21=1,"0.00761905",IF(C21=0,"0.00952381"))))))</f>
        <v>0</v>
      </c>
      <c r="G21" s="82"/>
      <c r="H21" s="82" t="s">
        <v>151</v>
      </c>
      <c r="I21" s="82" t="s">
        <v>151</v>
      </c>
      <c r="J21" s="82" t="s">
        <v>146</v>
      </c>
      <c r="K21" s="82"/>
      <c r="L21" s="82"/>
      <c r="M21" s="24"/>
    </row>
    <row r="22" spans="1:14">
      <c r="A22" s="95">
        <v>12</v>
      </c>
      <c r="B22" s="95" t="s">
        <v>154</v>
      </c>
      <c r="C22" s="81">
        <v>5</v>
      </c>
      <c r="D22" s="96" t="str">
        <f>IF(C22=5,"Jumlah PKBM atau Paket ABC ≥ 1 ",IF(C22=1,"Jumlah PKBM atau Paket ABC Tidak ada"))</f>
        <v>Jumlah PKBM atau Paket ABC ≥ 1 </v>
      </c>
      <c r="E22" s="96" t="str">
        <f>IF(C22=5,"-",IF(C22=1,"Pelaksanaan Kegiatan PKBM/Kejar Paket A B C"))</f>
        <v>-</v>
      </c>
      <c r="F22" s="82" t="str">
        <f>IF(C22=5,"0",IF(C22=4,"0.00190476",IF(C22=3,"0.00380952",IF(C22=2,"0.00571429",IF(C22=1,"0.00761905",IF(C22=0,"0.00952381"))))))</f>
        <v>0</v>
      </c>
      <c r="G22" s="82"/>
      <c r="H22" s="82"/>
      <c r="I22" s="82" t="s">
        <v>151</v>
      </c>
      <c r="J22" s="82"/>
      <c r="K22" s="82"/>
      <c r="L22" s="82"/>
      <c r="M22" s="24"/>
    </row>
    <row r="23" spans="1:14">
      <c r="A23" s="95">
        <v>13</v>
      </c>
      <c r="B23" s="95" t="s">
        <v>155</v>
      </c>
      <c r="C23" s="81">
        <v>1</v>
      </c>
      <c r="D23" s="96" t="str">
        <f>IF(C23=5,"Jumlah Pusat Keterampilan atau Kursus ≥ 1 ",IF(C23=1,"Jumlah Pusat Keterampilan atau Kursus Tidak ada"))</f>
        <v>Jumlah Pusat Keterampilan atau Kursus Tidak ada</v>
      </c>
      <c r="E23" s="96" t="str">
        <f>IF(C23=5,"-",IF(C23=1,"Pengadaan Tempat Kursus/Pelatihan"))</f>
        <v>Pengadaan Tempat Kursus/Pelatihan</v>
      </c>
      <c r="F23" s="82" t="str">
        <f>IF(C23=5,"0",IF(C23=4,"0.00190476",IF(C23=3,"0.00380952",IF(C23=2,"0.00571429",IF(C23=1,"0.00761905",IF(C23=0,"0.00952381"))))))</f>
        <v>0.00761905</v>
      </c>
      <c r="G23" s="82"/>
      <c r="H23" s="82"/>
      <c r="I23" s="82"/>
      <c r="J23" s="82"/>
      <c r="K23" s="82" t="s">
        <v>132</v>
      </c>
      <c r="L23" s="82" t="s">
        <v>156</v>
      </c>
      <c r="M23" s="24"/>
    </row>
    <row r="24" spans="1:14">
      <c r="A24" s="95">
        <v>14</v>
      </c>
      <c r="B24" s="95" t="s">
        <v>157</v>
      </c>
      <c r="C24" s="81">
        <v>5</v>
      </c>
      <c r="D24" s="96" t="str">
        <f>IF(C24=5,"Taman Bacaan Masyarakat atau perpustakaan Desa tersedia ",IF(C24=1,"Taman Bacaan Masyarakat atau perpustakaan Desa tidak tersedia"))</f>
        <v>Taman Bacaan Masyarakat atau perpustakaan Desa tersedia </v>
      </c>
      <c r="E24" s="96" t="str">
        <f>IF(C24=5,"-",IF(C24=1,"Pembangunan PerpusDes/Taman Bacaan Mayarakat"))</f>
        <v>-</v>
      </c>
      <c r="F24" s="82" t="str">
        <f>IF(C24=5,"0",IF(C24=4,"0.00190476",IF(C24=3,"0.00380952",IF(C24=2,"0.00571429",IF(C24=1,"0.00761905",IF(C24=0,"0.00952381"))))))</f>
        <v>0</v>
      </c>
      <c r="G24" s="82" t="s">
        <v>158</v>
      </c>
      <c r="H24" s="82" t="s">
        <v>159</v>
      </c>
      <c r="I24" s="82" t="s">
        <v>159</v>
      </c>
      <c r="J24" s="82" t="s">
        <v>146</v>
      </c>
      <c r="K24" s="82" t="s">
        <v>132</v>
      </c>
      <c r="L24" s="82"/>
      <c r="M24" s="24"/>
    </row>
    <row r="25" spans="1:14">
      <c r="A25" s="95">
        <v>15</v>
      </c>
      <c r="B25" s="95" t="s">
        <v>160</v>
      </c>
      <c r="C25" s="81">
        <v>5</v>
      </c>
      <c r="D25" s="96" t="str">
        <f>IF(C25=5,"Terdapat Kebiasaan Gotong Royong",IF(C25=1,"Tidak terdapat Kebiasaan Gotong Royong"))</f>
        <v>Terdapat Kebiasaan Gotong Royong</v>
      </c>
      <c r="E25" s="96" t="str">
        <f>IF(C25=5,"-",IF(C25=1,"Pelaksanaan Gotong Royong di Desa"))</f>
        <v>-</v>
      </c>
      <c r="F25" s="82" t="str">
        <f>IF(C25=5,"0",IF(C25=4,"0.00190476",IF(C25=3,"0.00380952",IF(C25=2,"0.00571429",IF(C25=1,"0.00761905",IF(C25=0,"0.00952381"))))))</f>
        <v>0</v>
      </c>
      <c r="G25" s="82"/>
      <c r="H25" s="82"/>
      <c r="I25" s="82"/>
      <c r="J25" s="82" t="s">
        <v>161</v>
      </c>
      <c r="K25" s="82"/>
      <c r="L25" s="82"/>
      <c r="M25" s="24"/>
    </row>
    <row r="26" spans="1:14">
      <c r="A26" s="95">
        <v>16</v>
      </c>
      <c r="B26" s="95" t="s">
        <v>162</v>
      </c>
      <c r="C26" s="81">
        <v>5</v>
      </c>
      <c r="D26" s="96" t="str">
        <f>IF(C26=5,"Frekuensi Gotong Royong &gt; 2",IF(C26=3,"Frekuensi Gotong Royong antara 1 s.d 2 kali",IF(C26=1,"Frekuensi Gotong Royong tidak ada")))</f>
        <v>Frekuensi Gotong Royong &gt; 2</v>
      </c>
      <c r="E26" s="96" t="str">
        <f>IF(C26=5,"-",IF(C26=3,"Peningkatan Frekuensi Gotong Royong",IF(C26=1,"Pelaksaaan Gotong Royong Min 1 bulan 1 kali")))</f>
        <v>-</v>
      </c>
      <c r="F26" s="82" t="str">
        <f>IF(C26=5,"0",IF(C26=4,"0.00190476",IF(C26=3,"0.00380952",IF(C26=2,"0.00571429",IF(C26=1,"0.00761905",IF(C26=0,"0.00952381"))))))</f>
        <v>0</v>
      </c>
      <c r="G26" s="82"/>
      <c r="H26" s="82"/>
      <c r="I26" s="82"/>
      <c r="J26" s="82" t="s">
        <v>161</v>
      </c>
      <c r="K26" s="82"/>
      <c r="L26" s="82"/>
      <c r="M26" s="24"/>
    </row>
    <row r="27" spans="1:14">
      <c r="A27" s="95">
        <v>17</v>
      </c>
      <c r="B27" s="95" t="s">
        <v>163</v>
      </c>
      <c r="C27" s="81">
        <v>5</v>
      </c>
      <c r="D27" s="96" t="str">
        <f>IF(C27=5,"Ruang Publik terdapat didesa",IF(C27=1,"Ruang Publik tidak terdapat didesa"))</f>
        <v>Ruang Publik terdapat didesa</v>
      </c>
      <c r="E27" s="96" t="str">
        <f>IF(C27=5,"-",IF(C27=1,"Pembangunan Ruang Publik"))</f>
        <v>-</v>
      </c>
      <c r="F27" s="82" t="str">
        <f>IF(C27=5,"0",IF(C27=4,"0.00190476",IF(C27=3,"0.00380952",IF(C27=2,"0.00571429",IF(C27=1,"0.00761905",IF(C27=0,"0.00952381"))))))</f>
        <v>0</v>
      </c>
      <c r="G27" s="82"/>
      <c r="H27" s="82"/>
      <c r="I27" s="82" t="s">
        <v>152</v>
      </c>
      <c r="J27" s="82" t="s">
        <v>146</v>
      </c>
      <c r="K27" s="82"/>
      <c r="L27" s="82"/>
      <c r="M27" s="24"/>
    </row>
    <row r="28" spans="1:14">
      <c r="A28" s="95">
        <v>18</v>
      </c>
      <c r="B28" s="95" t="s">
        <v>164</v>
      </c>
      <c r="C28" s="81">
        <v>4</v>
      </c>
      <c r="D28" s="96" t="str">
        <f>IF(C28=5,"Jumlah kelompok kegiatan olahraga &gt; 7",IF(C28=4,"Jumlah kelompok kegiatan olahraga antara 6 s.d 7 ",IF(C28=3,"Jumlah kelompok kegiatan olahraga antara 4 s.d 5",IF(C28=2,"Jumlah kelompok kegiatan olahraga 2 s.d 3",IF(C28=1,"Jumlah kelompok kegiatan olahraga ada 1",IF(C28=0,"Jumlah kelompok kegiatan olahraga tidak ada"))))))</f>
        <v>Jumlah kelompok kegiatan olahraga antara 6 s.d 7 </v>
      </c>
      <c r="E28" s="96" t="str">
        <f>IF(C28=5,"-",IF(C28=4,"Penambahan Min 2 Kelp Olahraga",IF(C28=3,"Penambahan Min 4 Kelp Olahraga",IF(C28=2,"Penambahan Min 6 Kelp Olahraga",IF(C28=1,"Penambahan Min 8 Kelp Olahragat",IF(C28=0,"Penambahan minila 8 kel OR"))))))</f>
        <v>Penambahan Min 2 Kelp Olahraga</v>
      </c>
      <c r="F28" s="82" t="str">
        <f>IF(C28=5,"0",IF(C28=4,"0.00190476",IF(C28=3,"0.00380952",IF(C28=2,"0.00571429",IF(C28=1,"0.00761905",IF(C28=0,"0.00952381"))))))</f>
        <v>0.00190476</v>
      </c>
      <c r="G28" s="82"/>
      <c r="H28" s="82" t="s">
        <v>165</v>
      </c>
      <c r="I28" s="82" t="s">
        <v>165</v>
      </c>
      <c r="J28" s="82" t="s">
        <v>166</v>
      </c>
      <c r="K28" s="82"/>
      <c r="L28" s="82"/>
      <c r="M28" s="24"/>
    </row>
    <row r="29" spans="1:14">
      <c r="A29" s="95">
        <v>19</v>
      </c>
      <c r="B29" s="95" t="s">
        <v>167</v>
      </c>
      <c r="C29" s="81">
        <v>4</v>
      </c>
      <c r="D29" s="96" t="str">
        <f>IF(C29=5,"Jumlah kegiatan olahraga &gt; 7",IF(C29=4,"Jumlah kegiatan olahraga antara 6 s.d 7 ",IF(C29=3,"Jumlah kegiatan olahraga antara 4 s.d 5",IF(C29=2,"Jumlah kegiatan olahraga 2 s.d 3",IF(C29=1,"Jumlah kegiatan olahraga ada 1",IF(C29=0,"Jumlah kegiatan olahraga tidak ada"))))))</f>
        <v>Jumlah kegiatan olahraga antara 6 s.d 7 </v>
      </c>
      <c r="E29" s="96" t="str">
        <f>IF(C29=5,"-",IF(C29=4,"Pembangunan Min 2 Lap Olahraga",IF(C29=3,"Pembangunan Min 4 Lap Olahraga",IF(C29=2,"Pembangunan Min 6 Lap Olahraga",IF(C29=1,"Pembangunan Lapangan Olah Raga Min 7 Unit",IF(C29=0,"Pembangunan Lapangan Olah Raga Min 8 Unit"))))))</f>
        <v>Pembangunan Min 2 Lap Olahraga</v>
      </c>
      <c r="F29" s="82" t="str">
        <f>IF(C29=5,"0",IF(C29=4,"0.00190476",IF(C29=3,"0.00380952",IF(C29=2,"0.00571429",IF(C29=1,"0.00761905",IF(C29=0,"0.00952381"))))))</f>
        <v>0.00190476</v>
      </c>
      <c r="G29" s="82" t="s">
        <v>168</v>
      </c>
      <c r="H29" s="82" t="s">
        <v>165</v>
      </c>
      <c r="I29" s="82" t="s">
        <v>165</v>
      </c>
      <c r="J29" s="82" t="s">
        <v>146</v>
      </c>
      <c r="K29" s="82" t="s">
        <v>132</v>
      </c>
      <c r="L29" s="82" t="s">
        <v>169</v>
      </c>
      <c r="M29" s="24"/>
    </row>
    <row r="30" spans="1:14">
      <c r="A30" s="95">
        <v>20</v>
      </c>
      <c r="B30" s="95" t="s">
        <v>170</v>
      </c>
      <c r="C30" s="81">
        <v>5</v>
      </c>
      <c r="D30" s="96" t="str">
        <f>IF(C30=5,"Jumlah Jenis Agama di Desa &gt; 1",IF(C30=1,"Jumlah Jenis Agama di Desa terdapat 1"))</f>
        <v>Jumlah Jenis Agama di Desa &gt; 1</v>
      </c>
      <c r="E30" s="96" t="str">
        <f>IF(C30=5,"-",IF(C30=1,"Pendataan Jenis Agama Penduduk Desa"))</f>
        <v>-</v>
      </c>
      <c r="F30" s="82" t="str">
        <f>IF(C30=5,"0",IF(C30=4,"0.00190476",IF(C30=3,"0.00380952",IF(C30=2,"0.00571429",IF(C30=1,"0.00761905",IF(C30=0,"0.00952381"))))))</f>
        <v>0</v>
      </c>
      <c r="G30" s="82"/>
      <c r="H30" s="82"/>
      <c r="I30" s="82"/>
      <c r="J30" s="82" t="s">
        <v>161</v>
      </c>
      <c r="K30" s="82"/>
      <c r="L30" s="82"/>
      <c r="M30" s="24"/>
    </row>
    <row r="31" spans="1:14">
      <c r="A31" s="95">
        <v>21</v>
      </c>
      <c r="B31" s="95" t="s">
        <v>171</v>
      </c>
      <c r="C31" s="81">
        <v>5</v>
      </c>
      <c r="D31" s="96" t="str">
        <f>IF(C31=5,"Jumlah Bahasa yang digunakan sehari-hari &gt; 1",IF(C31=1,"Jumlah Bahasa yang digunakan sehari-hari 1"))</f>
        <v>Jumlah Bahasa yang digunakan sehari-hari &gt; 1</v>
      </c>
      <c r="E31" s="96" t="str">
        <f>IF(C31=5,"-",IF(C31=1,"Review Jumlah Bahasa yang digunakan di Desa"))</f>
        <v>-</v>
      </c>
      <c r="F31" s="82" t="str">
        <f>IF(C31=5,"0",IF(C31=4,"0.00190476",IF(C31=3,"0.00380952",IF(C31=2,"0.00571429",IF(C31=1,"0.00761905",IF(C31=0,"0.00952381"))))))</f>
        <v>0</v>
      </c>
      <c r="G31" s="82"/>
      <c r="H31" s="82"/>
      <c r="I31" s="82"/>
      <c r="J31" s="82" t="s">
        <v>161</v>
      </c>
      <c r="K31" s="82"/>
      <c r="L31" s="82"/>
      <c r="M31" s="24"/>
    </row>
    <row r="32" spans="1:14">
      <c r="A32" s="95">
        <v>22</v>
      </c>
      <c r="B32" s="95" t="s">
        <v>172</v>
      </c>
      <c r="C32" s="81">
        <v>1</v>
      </c>
      <c r="D32" s="96" t="str">
        <f>IF(C32=5,"Warga Desa terdiri dari Suku &gt; 1",IF(C32=1,"Warga Desa terdapat 1 Suku"))</f>
        <v>Warga Desa terdapat 1 Suku</v>
      </c>
      <c r="E32" s="96" t="str">
        <f>IF(C32=5,"-",IF(C32=1,"Pendataan Jumlah Suku yang ada didesa"))</f>
        <v>Pendataan Jumlah Suku yang ada didesa</v>
      </c>
      <c r="F32" s="82" t="str">
        <f>IF(C32=5,"0",IF(C32=4,"0.00190476",IF(C32=3,"0.00380952",IF(C32=2,"0.00571429",IF(C32=1,"0.00761905",IF(C32=0,"0.00952381"))))))</f>
        <v>0.00761905</v>
      </c>
      <c r="G32" s="82"/>
      <c r="H32" s="82"/>
      <c r="I32" s="82"/>
      <c r="J32" s="82" t="s">
        <v>161</v>
      </c>
      <c r="K32" s="82"/>
      <c r="L32" s="82"/>
      <c r="M32" s="24"/>
    </row>
    <row r="33" spans="1:14">
      <c r="A33" s="95">
        <v>23</v>
      </c>
      <c r="B33" s="95" t="s">
        <v>173</v>
      </c>
      <c r="C33" s="81">
        <v>5</v>
      </c>
      <c r="D33" s="96" t="str">
        <f>IF(C33=5,"Terdapat Pos Keamanan  di Desa",IF(C33=1,"Tidak terdapat di Pos Keamanan Desa"))</f>
        <v>Terdapat Pos Keamanan  di Desa</v>
      </c>
      <c r="E33" s="96" t="str">
        <f>IF(C33=5,"-",IF(C33=1,"Pembangunan Poskamling"))</f>
        <v>-</v>
      </c>
      <c r="F33" s="82" t="str">
        <f>IF(C33=5,"0",IF(C33=4,"0.00190476",IF(C33=3,"0.00380952",IF(C33=2,"0.00571429",IF(C33=1,"0.00761905",IF(C33=0,"0.00952381"))))))</f>
        <v>0</v>
      </c>
      <c r="G33" s="82"/>
      <c r="H33" s="82"/>
      <c r="I33" s="82"/>
      <c r="J33" s="82" t="s">
        <v>146</v>
      </c>
      <c r="K33" s="82"/>
      <c r="L33" s="82"/>
      <c r="M33" s="24"/>
    </row>
    <row r="34" spans="1:14">
      <c r="A34" s="95">
        <v>24</v>
      </c>
      <c r="B34" s="95" t="s">
        <v>174</v>
      </c>
      <c r="C34" s="81">
        <v>5</v>
      </c>
      <c r="D34" s="96" t="str">
        <f>IF(C34=5,"Terdapat Sistem Keamanan Lingkungan warga di Desa",IF(C34=1,"Tidak terdapat Sistem Keamanan Lingkungan warga di Desa"))</f>
        <v>Terdapat Sistem Keamanan Lingkungan warga di Desa</v>
      </c>
      <c r="E34" s="96" t="str">
        <f>IF(C34=5,"-",IF(C34=1,"Mengaktifkan Siskamling"))</f>
        <v>-</v>
      </c>
      <c r="F34" s="82" t="str">
        <f>IF(C34=5,"0",IF(C34=4,"0.00190476",IF(C34=3,"0.00380952",IF(C34=2,"0.00571429",IF(C34=1,"0.00761905",IF(C34=0,"0.00952381"))))))</f>
        <v>0</v>
      </c>
      <c r="G34" s="82"/>
      <c r="H34" s="82"/>
      <c r="I34" s="82"/>
      <c r="J34" s="82" t="s">
        <v>161</v>
      </c>
      <c r="K34" s="82"/>
      <c r="L34" s="82"/>
      <c r="M34" s="24"/>
    </row>
    <row r="35" spans="1:14">
      <c r="A35" s="95">
        <v>25</v>
      </c>
      <c r="B35" s="95" t="s">
        <v>175</v>
      </c>
      <c r="C35" s="81">
        <v>5</v>
      </c>
      <c r="D35" s="96" t="str">
        <f>IF(C35=5,"Tidak terdapat atau tidak ada Konflik di Desa",IF(C35=1,"Terdapat atau ada Konflik di Desa"))</f>
        <v>Tidak terdapat atau tidak ada Konflik di Desa</v>
      </c>
      <c r="E35" s="96" t="str">
        <f>IF(C35=5,"-",IF(C35=1,"Identifikasi dan Penanganan Konflik"))</f>
        <v>-</v>
      </c>
      <c r="F35" s="82" t="str">
        <f>IF(C35=5,"0",IF(C35=4,"0.00190476",IF(C35=3,"0.00380952",IF(C35=2,"0.00571429",IF(C35=1,"0.00761905",IF(C35=0,"0.00952381"))))))</f>
        <v>0</v>
      </c>
      <c r="G35" s="82"/>
      <c r="H35" s="82"/>
      <c r="I35" s="82" t="s">
        <v>176</v>
      </c>
      <c r="J35" s="82"/>
      <c r="K35" s="82"/>
      <c r="L35" s="82"/>
      <c r="M35" s="24"/>
    </row>
    <row r="36" spans="1:14">
      <c r="A36" s="95">
        <v>26</v>
      </c>
      <c r="B36" s="95" t="s">
        <v>177</v>
      </c>
      <c r="C36" s="81">
        <v>5</v>
      </c>
      <c r="D36" s="96" t="str">
        <f>IF(C36=5,"Jumlah PMKS  tidak ada atau 0 ",IF(C36=4,"Jumlah PMKS ada 1 ",IF(C36=3,"Jumlah PMKS ada 2",IF(C36=2,"Jumlah PMKS &gt; 2"))))</f>
        <v>Jumlah PMKS  tidak ada atau 0 </v>
      </c>
      <c r="E36" s="96" t="str">
        <f>IF(C36=5,"-",IF(C36=4,"Identifikasi dan Penanganan PMKS",IF(C36=3,"Identifikasi dan Penanganan PMKS",IF(C36=2,"Identifikasi dan Penanganan PMKS"))))</f>
        <v>-</v>
      </c>
      <c r="F36" s="82" t="str">
        <f>IF(C36=5,"0",IF(C36=4,"0.00190476",IF(C36=3,"0.00380952",IF(C36=2,"0.00571429",IF(C36=1,"0.00761905",IF(C36=0,"0.00952381"))))))</f>
        <v>0</v>
      </c>
      <c r="G36" s="82"/>
      <c r="H36" s="82"/>
      <c r="I36" s="82" t="s">
        <v>178</v>
      </c>
      <c r="J36" s="82"/>
      <c r="K36" s="82"/>
      <c r="L36" s="82"/>
      <c r="M36" s="24"/>
    </row>
    <row r="37" spans="1:14">
      <c r="A37" s="95">
        <v>27</v>
      </c>
      <c r="B37" s="95" t="s">
        <v>179</v>
      </c>
      <c r="C37" s="81">
        <v>5</v>
      </c>
      <c r="D37" s="96" t="str">
        <f>IF(C37=5,"Jumlah Skor SLB = 0 ",IF(C37=4,"Jumlah Skor SLB antara 1 s.d 3",IF(C37=3,"Jumlah Skor SLB antara 4 s.d 5",IF(C37=2,"Jumlah Skor SLB = 6",IF(C37=1,"Jumlah Skor SLB &gt; 6")))))</f>
        <v>Jumlah Skor SLB = 0 </v>
      </c>
      <c r="E37" s="96" t="str">
        <f>IF(C37=5,"-",IF(C37=4,"Penanganan SLB",IF(C37=3,"Penanganan SLB",IF(C37=2,"Penanganan SLB",IF(C37=1,"Penanganan SLB")))))</f>
        <v>-</v>
      </c>
      <c r="F37" s="82" t="str">
        <f>IF(C37=5,"0",IF(C37=4,"0.00190476",IF(C37=3,"0.00380952",IF(C37=2,"0.00571429",IF(C37=1,"0.00761905",IF(C37=0,"0.00952381"))))))</f>
        <v>0</v>
      </c>
      <c r="G37" s="82"/>
      <c r="H37" s="82" t="s">
        <v>180</v>
      </c>
      <c r="I37" s="82"/>
      <c r="J37" s="82"/>
      <c r="K37" s="82"/>
      <c r="L37" s="82"/>
      <c r="M37" s="24"/>
    </row>
    <row r="38" spans="1:14">
      <c r="A38" s="95">
        <v>28</v>
      </c>
      <c r="B38" s="95" t="s">
        <v>181</v>
      </c>
      <c r="C38" s="81">
        <v>5</v>
      </c>
      <c r="D38" s="96" t="str">
        <f>IF(C38=5,"(Jumlah Keluarga Memakai listrik + non Listrik/Jumlah keluarga memakai listrik) ≥ 0,9 )",IF(C38=4,"(Jumlah Keluarga Memakai listrik + non Listrik/Jumlah keluarga memakai listrik) antara 0,8 s.d 0,89",IF(C38=3,"(Jumlah Keluarga Memakai listrik + non Listrik/Jumlah keluarga memakai listrik) antara 0,6 s.d 0,79",IF(C38=2,"(Jumlah Keluarga Memakai listrik + non Listrik/Jumlah keluarga memakai listrik) antara 0,5 s.d 0,59",IF(C38=1,"(Jumlah Keluarga Memakai listrik + non Listrik/Jumlah keluarga memakai listrik) &lt; 0,5)")))))</f>
        <v>(Jumlah Keluarga Memakai listrik + non Listrik/Jumlah keluarga memakai listrik) ≥ 0,9 )</v>
      </c>
      <c r="E38" s="96" t="str">
        <f>IF(C38=5,"-",IF(C38=4,"Fasilitasi Akses Listrik warga hingga &gt;90 % dari jumlah KK",IF(C38=3,"Fasilitasi Akses Listrik warga hingga &gt;90 % dari jumlah KK",IF(C38=2,"Fasilitasi Akses Listrik warga hingga &gt;90 % dari jumlah KK",IF(C38=1,"Fasilitasi Akses Listrik warga hingga &gt;90 % dari jumlah KK")))))</f>
        <v>-</v>
      </c>
      <c r="F38" s="82" t="str">
        <f>IF(C38=5,"0",IF(C38=4,"0.00190476",IF(C38=3,"0.00380952",IF(C38=2,"0.00571429",IF(C38=1,"0.00761905",IF(C38=0,"0.00952381"))))))</f>
        <v>0</v>
      </c>
      <c r="G38" s="82" t="s">
        <v>182</v>
      </c>
      <c r="H38" s="82" t="s">
        <v>182</v>
      </c>
      <c r="I38" s="82"/>
      <c r="J38" s="82" t="s">
        <v>146</v>
      </c>
      <c r="K38" s="82" t="s">
        <v>132</v>
      </c>
      <c r="L38" s="82" t="s">
        <v>169</v>
      </c>
      <c r="M38" s="24"/>
    </row>
    <row r="39" spans="1:14">
      <c r="A39" s="95">
        <v>29</v>
      </c>
      <c r="B39" s="95" t="s">
        <v>183</v>
      </c>
      <c r="C39" s="81">
        <v>3</v>
      </c>
      <c r="D39" s="96" t="str">
        <f>IF(C39=5,"Sinyal telepon seluler di Desa Kuat",IF(C39=3,"Sinyal telepon seluler di Desa Lemah",IF(C39=0,"Sinyal telepon seluler di Desa  Tidak Ada atau 0")))</f>
        <v>Sinyal telepon seluler di Desa Lemah</v>
      </c>
      <c r="E39" s="96" t="str">
        <f>IF(C39=5,"-",IF(C39=3,"Fasilitasi Upaya Penguatan Sinyal Telp",IF(C39=0,"Fasilitasi Pemasangan BTS")))</f>
        <v>Fasilitasi Upaya Penguatan Sinyal Telp</v>
      </c>
      <c r="F39" s="82" t="str">
        <f>IF(C39=5,"0",IF(C39=4,"0.00190476",IF(C39=3,"0.00380952",IF(C39=2,"0.00571429",IF(C39=1,"0.00761905",IF(C39=0,"0.00952381"))))))</f>
        <v>0.00380952</v>
      </c>
      <c r="G39" s="82" t="s">
        <v>184</v>
      </c>
      <c r="H39" s="82" t="s">
        <v>185</v>
      </c>
      <c r="I39" s="82" t="s">
        <v>185</v>
      </c>
      <c r="J39" s="82"/>
      <c r="K39" s="82"/>
      <c r="L39" s="82" t="s">
        <v>186</v>
      </c>
      <c r="M39" s="24"/>
    </row>
    <row r="40" spans="1:14">
      <c r="A40" s="95">
        <v>30</v>
      </c>
      <c r="B40" s="95" t="s">
        <v>187</v>
      </c>
      <c r="C40" s="81">
        <v>5</v>
      </c>
      <c r="D40" s="96" t="str">
        <f>IF(C40=5,"Terdapat fasilitas internet di kantor Desa ",IF(C40=1,"Tidak terdapat atau belum ada Fasilitas Internet di Kantor Desa"))</f>
        <v>Terdapat fasilitas internet di kantor Desa </v>
      </c>
      <c r="E40" s="96" t="str">
        <f>IF(C40=5,"-",IF(C40=1,"Pemasangan Internet Kantor Desa"))</f>
        <v>-</v>
      </c>
      <c r="F40" s="82" t="str">
        <f>IF(C40=5,"0",IF(C40=4,"0.00190476",IF(C40=3,"0.00380952",IF(C40=2,"0.00571429",IF(C40=1,"0.00761905",IF(C40=0,"0.00952381"))))))</f>
        <v>0</v>
      </c>
      <c r="G40" s="82" t="s">
        <v>188</v>
      </c>
      <c r="H40" s="82"/>
      <c r="I40" s="82"/>
      <c r="J40" s="82" t="s">
        <v>161</v>
      </c>
      <c r="K40" s="82" t="s">
        <v>132</v>
      </c>
      <c r="L40" s="82"/>
      <c r="M40" s="24"/>
    </row>
    <row r="41" spans="1:14">
      <c r="A41" s="95">
        <v>31</v>
      </c>
      <c r="B41" s="95" t="s">
        <v>189</v>
      </c>
      <c r="C41" s="81">
        <v>1</v>
      </c>
      <c r="D41" s="96" t="str">
        <f>IF(C41=5,"Terdapat Akses internet warga di Desa",IF(C41=1,"Tidak Terdapat Akses internet warga di Desa"))</f>
        <v>Tidak Terdapat Akses internet warga di Desa</v>
      </c>
      <c r="E41" s="96" t="str">
        <f>IF(C41=5,"-",IF(C41=1,"Pembangunan Warnet/Fasilitasi Akses Internet warga Desa melalui sinyal 3G/4G"))</f>
        <v>Pembangunan Warnet/Fasilitasi Akses Internet warga Desa melalui sinyal 3G/4G</v>
      </c>
      <c r="F41" s="82" t="str">
        <f>IF(C41=5,"0",IF(C41=4,"0.00190476",IF(C41=3,"0.00380952",IF(C41=2,"0.00571429",IF(C41=1,"0.00761905",IF(C41=0,"0.00952381"))))))</f>
        <v>0.00761905</v>
      </c>
      <c r="G41" s="82" t="s">
        <v>184</v>
      </c>
      <c r="H41" s="82" t="s">
        <v>185</v>
      </c>
      <c r="I41" s="82" t="s">
        <v>185</v>
      </c>
      <c r="J41" s="82"/>
      <c r="K41" s="82"/>
      <c r="L41" s="82" t="s">
        <v>186</v>
      </c>
      <c r="M41" s="24"/>
    </row>
    <row r="42" spans="1:14">
      <c r="A42" s="95">
        <v>32</v>
      </c>
      <c r="B42" s="95" t="s">
        <v>190</v>
      </c>
      <c r="C42" s="81">
        <v>5</v>
      </c>
      <c r="D42" s="96" t="str">
        <f>IF(C42=5,"Warga Desa BAB di Jamban Sendiri",IF(C42=4,"Warga Desa BAB di Jamban Bersama",IF(C42=3,"Warga Desa BAB di Jamban Umum",IF(C42=0,"Warga Desa BAB di tempat Lainnya"))))</f>
        <v>Warga Desa BAB di Jamban Sendiri</v>
      </c>
      <c r="E42" s="96" t="str">
        <f>IF(C42=5,"-",IF(C42=4,"Pembangunan Jamban Sendiri/KK",IF(C42=3,"Pembangunan Jamban Sendiri/KK",IF(C42=0,"Pembangunan Jamban Sendiri/KK"))))</f>
        <v>-</v>
      </c>
      <c r="F42" s="82" t="str">
        <f>IF(C42=5,"0",IF(C42=4,"0.00190476",IF(C42=3,"0.00380952",IF(C42=2,"0.00571429",IF(C42=1,"0.00761905",IF(C42=0,"0.00952381"))))))</f>
        <v>0</v>
      </c>
      <c r="G42" s="82"/>
      <c r="H42" s="82"/>
      <c r="I42" s="82" t="s">
        <v>191</v>
      </c>
      <c r="J42" s="82"/>
      <c r="K42" s="82" t="s">
        <v>132</v>
      </c>
      <c r="L42" s="82" t="s">
        <v>169</v>
      </c>
      <c r="M42" s="24"/>
    </row>
    <row r="43" spans="1:14">
      <c r="A43" s="95">
        <v>33</v>
      </c>
      <c r="B43" s="95" t="s">
        <v>192</v>
      </c>
      <c r="C43" s="81">
        <v>4</v>
      </c>
      <c r="D43" s="96" t="str">
        <f>IF(C43=5,"Warga desa membuang sampah di Tempat Sampah kemudian diangkut",IF(C43=4,"Warga desa membuang sampah di Lubang atau di Bakar",IF(C43=1,"Warga desa membuang sampah di Sungai, Saluran Irigasi, Danau, Laut, Got, Selokan ",IF(C43=0,"Warga desa membuang sampah di tempat Lainnya"))))</f>
        <v>Warga desa membuang sampah di Lubang atau di Bakar</v>
      </c>
      <c r="E43" s="96" t="str">
        <f>IF(C43=5,"-",IF(C43=4,"Pembangunan TPS danTPA Sampah ",IF(C43=1,"Warga desa membuang sampah di Sungai, Saluran Irigasi, Danau, Laut, Got, Selokan ",IF(C43=0,"Warga desa membuang sampah di tempat Lainnya"))))</f>
        <v>Pembangunan TPS danTPA Sampah </v>
      </c>
      <c r="F43" s="82" t="str">
        <f>IF(C43=5,"0",IF(C43=4,"0.00190476",IF(C43=3,"0.00380952",IF(C43=2,"0.00571429",IF(C43=1,"0.00761905",IF(C43=0,"0.00952381"))))))</f>
        <v>0.00190476</v>
      </c>
      <c r="G43" s="82"/>
      <c r="H43" s="82" t="s">
        <v>193</v>
      </c>
      <c r="I43" s="82" t="s">
        <v>194</v>
      </c>
      <c r="J43" s="82" t="s">
        <v>146</v>
      </c>
      <c r="K43" s="82" t="s">
        <v>132</v>
      </c>
      <c r="L43" s="82"/>
      <c r="M43" s="24"/>
    </row>
    <row r="44" spans="1:14">
      <c r="A44" s="95">
        <v>34</v>
      </c>
      <c r="B44" s="95" t="s">
        <v>195</v>
      </c>
      <c r="C44" s="81">
        <v>5</v>
      </c>
      <c r="D44" s="96" t="str">
        <f>IF(C44=5,"Sumber air minum berasal dari PAM, Air Ledeng tanpa Meteran",IF(C44=4,"Sumber air minum berasal dari Sumur Bor/pompa, Sumur",IF(C44=3,"Sumber air minum berasal dari Kemasan, Mata Air",IF(C44=2,"Sumber air minum berasal dari Sungai, Air Hujan",IF(C44=1,"Sumber air minum berasal dari Lainnya")))))</f>
        <v>Sumber air minum berasal dari PAM, Air Ledeng tanpa Meteran</v>
      </c>
      <c r="E44" s="96" t="str">
        <f>IF(C44=5,"-",IF(C44=4,"Pemasangan PDAM/Air Ledeng Tanpa Meteran",IF(C44=3,"Pemasangan PDAM/Air Ledeng Tanpa Meteran",IF(C44=2,"Pemasangan PDAM/Air Ledeng Tanpa Meteran",IF(C44=1,"Pemasangan PDAM/Air Ledeng Tanpa Meteran")))))</f>
        <v>-</v>
      </c>
      <c r="F44" s="82" t="str">
        <f>IF(C44=5,"0",IF(C44=4,"0.00190476",IF(C44=3,"0.00380952",IF(C44=2,"0.00571429",IF(C44=1,"0.00761905",IF(C44=0,"0.00952381"))))))</f>
        <v>0</v>
      </c>
      <c r="G44" s="82" t="s">
        <v>196</v>
      </c>
      <c r="H44" s="82"/>
      <c r="I44" s="82" t="s">
        <v>152</v>
      </c>
      <c r="J44" s="82" t="s">
        <v>146</v>
      </c>
      <c r="K44" s="82" t="s">
        <v>132</v>
      </c>
      <c r="L44" s="82" t="s">
        <v>197</v>
      </c>
      <c r="M44" s="24"/>
    </row>
    <row r="45" spans="1:14">
      <c r="A45" s="95">
        <v>35</v>
      </c>
      <c r="B45" s="95" t="s">
        <v>198</v>
      </c>
      <c r="C45" s="81">
        <v>5</v>
      </c>
      <c r="D45" s="96" t="str">
        <f>IF(C45=5,"Sumber air mandi dan cuci berasal dari PAM, Air Ledeng tanpa Meteran",IF(C45=4,"Sumber air mandi dan cuci berasal dari Sumur Bor/pompa, Sumur",IF(C45=3,"Sumber air mandi dan cuci berasal dari Kemasan, Mata Air",IF(C45=2,"Sumber air mandi dan cuci berasal dari Sungai, Air Hujan",IF(C45=1,"Sumber air mandi dan cuci berasal dari Lainnya")))))</f>
        <v>Sumber air mandi dan cuci berasal dari PAM, Air Ledeng tanpa Meteran</v>
      </c>
      <c r="E45" s="96" t="str">
        <f>IF(C45=5,"-",IF(C45=4,"Pemasangan PDAM/Air Ledeng Tanpa Meteran",IF(C45=3,"Pemasangan PDAM/Air Ledeng Tanpa Meteran",IF(C45=2,"Pemasangan PDAM/Air Ledeng Tanpa Meteran",IF(C45=1,"Pemasangan PDAM/Air Ledeng Tanpa Meteran")))))</f>
        <v>-</v>
      </c>
      <c r="F45" s="82" t="str">
        <f>IF(C45=5,"0",IF(C45=4,"0.00190476",IF(C45=3,"0.00380952",IF(C45=2,"0.00571429",IF(C45=1,"0.00761905",IF(C45=0,"0.00952381"))))))</f>
        <v>0</v>
      </c>
      <c r="G45" s="82" t="s">
        <v>196</v>
      </c>
      <c r="H45" s="82"/>
      <c r="I45" s="82" t="s">
        <v>152</v>
      </c>
      <c r="J45" s="82" t="s">
        <v>146</v>
      </c>
      <c r="K45" s="82" t="s">
        <v>132</v>
      </c>
      <c r="L45" s="82" t="s">
        <v>197</v>
      </c>
      <c r="M45" s="24"/>
    </row>
    <row r="46" spans="1:14">
      <c r="A46" s="95"/>
      <c r="B46" s="84" t="s">
        <v>199</v>
      </c>
      <c r="C46" s="83">
        <v>0.85714285714286</v>
      </c>
      <c r="D46" s="111"/>
      <c r="E46" s="112"/>
      <c r="F46" s="112"/>
      <c r="G46" s="112"/>
      <c r="H46" s="112"/>
      <c r="I46" s="112"/>
      <c r="J46" s="112"/>
      <c r="K46" s="112"/>
      <c r="L46" s="113"/>
      <c r="M46" s="24"/>
    </row>
    <row r="47" spans="1:14">
      <c r="A47" s="95">
        <v>1</v>
      </c>
      <c r="B47" s="95" t="s">
        <v>200</v>
      </c>
      <c r="C47" s="81">
        <v>5</v>
      </c>
      <c r="D47" s="96" t="str">
        <f>IF(C47=5,"Jumlah Industri Mikro/ Jumlah KK ≥ 0,004",IF(C47=3,"Jumlah Industri Mikro/ Jumlah KK antara 0,001 s.d 0,003",IF(C47=1,"Jumlah Industri Mikro/ Jumlah KK &lt;0,001")))</f>
        <v>Jumlah Industri Mikro/ Jumlah KK ≥ 0,004</v>
      </c>
      <c r="E47" s="96" t="str">
        <f>IF(C47=5,"-",IF(C47=3,"Peningkatan Jumlah Industri Mikro/UKM hingga &gt;=0,4% jumlah KK di Desa",IF(C47=1,"Peningkatan Jumlah Industri Mikro/UKM hingga &gt;=0,4% jumlah KK di Desa")))</f>
        <v>-</v>
      </c>
      <c r="F47" s="82" t="str">
        <f>IF(C47=5,"0",IF(C47=4,"0.00555556",IF(C47=3,"0.01111111",IF(C47=2,"0.01666667",IF(C47=1,"0.02222222",IF(C47=0,"0.02777778"))))))</f>
        <v>0</v>
      </c>
      <c r="G47" s="82"/>
      <c r="H47" s="82" t="s">
        <v>201</v>
      </c>
      <c r="I47" s="82" t="s">
        <v>201</v>
      </c>
      <c r="J47" s="82" t="s">
        <v>146</v>
      </c>
      <c r="K47" s="82" t="s">
        <v>132</v>
      </c>
      <c r="L47" s="82" t="s">
        <v>169</v>
      </c>
      <c r="M47" s="24"/>
    </row>
    <row r="48" spans="1:14">
      <c r="A48" s="95">
        <v>2</v>
      </c>
      <c r="B48" s="95" t="s">
        <v>202</v>
      </c>
      <c r="C48" s="81">
        <v>5</v>
      </c>
      <c r="D48" s="96" t="str">
        <f>IF(C48=5,"Jarak ke kelompok pertokoan terdekat ≤ 7 KM",IF(C48=4,"Jarak ke kelompok pertokoan terdekat antara 8 s.d 12 KM",IF(C48=3,"Jarak ke kelompok pertokoan terdekat antara 13 s.d 17 KM",IF(C48=2,"Jarak ke kelompok pertokoan terdekat antara 18 s.d 25 KM",IF(C48=1,"Jarak ke kelompok pertokoan terdekat &gt; 25 KM")))))</f>
        <v>Jarak ke kelompok pertokoan terdekat ≤ 7 KM</v>
      </c>
      <c r="E48" s="96" t="str">
        <f>IF(C48=5,"-",IF(C48=4,"-",IF(C48=3,"Pembangunan Pusat pertokoan melalui kerjasama antar desa/melayani beberapa desa",IF(C48=2,"Pembangunan Pusat pertokoan melalui kerjasama antar desa/melayani beberapa desa",IF(C48=1,"Pembangunan Pusat pertokoan melalui kerjasama antar desa/melayani beberapa desa")))))</f>
        <v>-</v>
      </c>
      <c r="F48" s="82" t="str">
        <f>IF(C48=5,"0",IF(C48=4,"0.00555556",IF(C48=3,"0.01111111",IF(C48=2,"0.01666667",IF(C48=1,"0.02222222",IF(C48=0,"0.02777778"))))))</f>
        <v>0</v>
      </c>
      <c r="G48" s="82"/>
      <c r="H48" s="82"/>
      <c r="I48" s="82" t="s">
        <v>201</v>
      </c>
      <c r="J48" s="82"/>
      <c r="K48" s="82"/>
      <c r="L48" s="82" t="s">
        <v>203</v>
      </c>
      <c r="M48" s="24"/>
    </row>
    <row r="49" spans="1:14">
      <c r="A49" s="95">
        <v>3</v>
      </c>
      <c r="B49" s="95" t="s">
        <v>204</v>
      </c>
      <c r="C49" s="81">
        <v>1</v>
      </c>
      <c r="D49" s="96" t="str">
        <f>IF(C49=5,"(Total KK/jumlah pasar(permanen)) ≥ 250",IF(C49=3,"(Total KK/jumlah pasar(permanen)) antara 0,001 s.d 250",IF(C49=1,"(Total KK/jumlah pasar(permanen)) = 0")))</f>
        <v>(Total KK/jumlah pasar(permanen)) = 0</v>
      </c>
      <c r="E49" s="96" t="str">
        <f>IF(C49=5,"-",IF(C49=3,"Optimalisasi Pasar",IF(C49=1,"Pembangunan Pasar Permanen")))</f>
        <v>Pembangunan Pasar Permanen</v>
      </c>
      <c r="F49" s="82" t="str">
        <f>IF(C49=5,"0",IF(C49=4,"0.00555556",IF(C49=3,"0.01111111",IF(C49=2,"0.01666667",IF(C49=1,"0.02222222",IF(C49=0,"0.02777778"))))))</f>
        <v>0.02222222</v>
      </c>
      <c r="G49" s="82" t="s">
        <v>205</v>
      </c>
      <c r="H49" s="82" t="s">
        <v>201</v>
      </c>
      <c r="I49" s="82" t="s">
        <v>201</v>
      </c>
      <c r="J49" s="82"/>
      <c r="K49" s="82"/>
      <c r="L49" s="82"/>
      <c r="M49" s="24"/>
    </row>
    <row r="50" spans="1:14">
      <c r="A50" s="95">
        <v>4</v>
      </c>
      <c r="B50" s="95" t="s">
        <v>206</v>
      </c>
      <c r="C50" s="81">
        <v>5</v>
      </c>
      <c r="D50" s="96" t="str">
        <f>IF(C50=5,"Jumlah Toko dan warung kelontong &gt; 3",IF(C50=4,"Jumlah Toko dan warung kelontong = 3",IF(C50=3,"Jumlah Toko dan warung kelontong = 2",IF(C50=2,"Jumlah Toko dan warung kelontong = 1",IF(C50=1,"Jumlah Toko dan warung kelontong = 0")))))</f>
        <v>Jumlah Toko dan warung kelontong &gt; 3</v>
      </c>
      <c r="E50" s="96" t="str">
        <f>IF(C50=5,"-",IF(C50=4,"Pembangunan Toko dan warung kelontong 1 Unit",IF(C50=3,"Pembangunan Toko dan warung kelontong 2 Unit",IF(C50=2,"Pembangunan Toko dan warung kelontong 3 Unit",IF(C50=1,"Pembangunan Toko dan warung kelontong &gt; 3 Unit")))))</f>
        <v>-</v>
      </c>
      <c r="F50" s="82" t="str">
        <f>IF(C50=5,"0",IF(C50=4,"0.00555556",IF(C50=3,"0.01111111",IF(C50=2,"0.01666667",IF(C50=1,"0.02222222",IF(C50=0,"0.02777778"))))))</f>
        <v>0</v>
      </c>
      <c r="G50" s="82"/>
      <c r="H50" s="82"/>
      <c r="I50" s="82"/>
      <c r="J50" s="82" t="s">
        <v>146</v>
      </c>
      <c r="K50" s="82"/>
      <c r="L50" s="82" t="s">
        <v>169</v>
      </c>
      <c r="M50" s="24"/>
    </row>
    <row r="51" spans="1:14">
      <c r="A51" s="95">
        <v>5</v>
      </c>
      <c r="B51" s="95" t="s">
        <v>207</v>
      </c>
      <c r="C51" s="81">
        <v>0</v>
      </c>
      <c r="D51" s="96" t="str">
        <f>IF(C51=5,"Jumlah Kedai dan Penginapan &gt; 1",IF(C51=3,"Jumlah Kedai dan Penginapan = 1",IF(C51=0,"Jumlah Kedai dan Penginapan = 0")))</f>
        <v>Jumlah Kedai dan Penginapan = 0</v>
      </c>
      <c r="E51" s="96" t="str">
        <f>IF(C51=5,"-",IF(C51=3,"Pembangunan 1 Unit Penginapan",IF(C51=0,"Pembangunan Kedai dan Penginapan")))</f>
        <v>Pembangunan Kedai dan Penginapan</v>
      </c>
      <c r="F51" s="82" t="str">
        <f>IF(C51=5,"0",IF(C51=4,"0.00555556",IF(C51=3,"0.01111111",IF(C51=2,"0.01666667",IF(C51=1,"0.02222222",IF(C51=0,"0.02777778"))))))</f>
        <v>0.02777778</v>
      </c>
      <c r="G51" s="82"/>
      <c r="H51" s="82" t="s">
        <v>208</v>
      </c>
      <c r="I51" s="82" t="s">
        <v>208</v>
      </c>
      <c r="J51" s="82" t="s">
        <v>146</v>
      </c>
      <c r="K51" s="82"/>
      <c r="L51" s="82" t="s">
        <v>203</v>
      </c>
      <c r="M51" s="24"/>
    </row>
    <row r="52" spans="1:14">
      <c r="A52" s="95">
        <v>6</v>
      </c>
      <c r="B52" s="95" t="s">
        <v>209</v>
      </c>
      <c r="C52" s="81">
        <v>0</v>
      </c>
      <c r="D52" s="96" t="str">
        <f>IF(C52=5,"Jumlah pos dan jasa logistik &gt; 1",IF(C52=3,"Jumlah pos dan jasa logistik = 1",IF(C52=0,"Jumlah pos dan jasa logistik = 0")))</f>
        <v>Jumlah pos dan jasa logistik = 0</v>
      </c>
      <c r="E52" s="96" t="str">
        <f>IF(C52=5,"-",IF(C52=3,"Pembangunan/Pengadaan Jasa logistik / kantor Pos (Identifikasi yang tidak ada)",IF(C52=0,"Pembangunan Jasa Logistik dan Kantor Pos")))</f>
        <v>Pembangunan Jasa Logistik dan Kantor Pos</v>
      </c>
      <c r="F52" s="82" t="str">
        <f>IF(C52=5,"0",IF(C52=4,"0.00555556",IF(C52=3,"0.01111111",IF(C52=2,"0.01666667",IF(C52=1,"0.02222222",IF(C52=0,"0.02777778"))))))</f>
        <v>0.02777778</v>
      </c>
      <c r="G52" s="82"/>
      <c r="H52" s="82"/>
      <c r="I52" s="82"/>
      <c r="J52" s="82" t="s">
        <v>210</v>
      </c>
      <c r="K52" s="82"/>
      <c r="L52" s="82" t="s">
        <v>211</v>
      </c>
      <c r="M52" s="24"/>
    </row>
    <row r="53" spans="1:14">
      <c r="A53" s="95">
        <v>7</v>
      </c>
      <c r="B53" s="95" t="s">
        <v>212</v>
      </c>
      <c r="C53" s="81">
        <v>0</v>
      </c>
      <c r="D53" s="96" t="str">
        <f>IF(C53=5,"Jumlah bank dan BPR &gt; 1",IF(C53=3,"Jumlah bank dan BPR = 1",IF(C53=1,"Jumlah bank dan BPR = 0",IF(C53=0,"Jumlah bank dan BPR = 0"))))</f>
        <v>Jumlah bank dan BPR = 0</v>
      </c>
      <c r="E53" s="96" t="str">
        <f>IF(C53=5,"-",IF(C53=3,"Fasilitasi Pembangunan Bank Swasta/BPR",IF(C53=1,"Fasilitasi Pembangunan Bank Pemerintah, Swasta &amp;/ BPR",IF(C53=0,"Fasilitasi Pembangunan Bank Pemerintah, Swasta &amp;/ BPR"))))</f>
        <v>Fasilitasi Pembangunan Bank Pemerintah, Swasta &amp;/ BPR</v>
      </c>
      <c r="F53" s="82" t="str">
        <f>IF(C53=5,"0",IF(C53=4,"0.00555556",IF(C53=3,"0.01111111",IF(C53=2,"0.01666667",IF(C53=1,"0.02222222",IF(C53=0,"0.02777778"))))))</f>
        <v>0.02777778</v>
      </c>
      <c r="G53" s="82"/>
      <c r="H53" s="82"/>
      <c r="I53" s="82"/>
      <c r="J53" s="82"/>
      <c r="K53" s="82"/>
      <c r="L53" s="82" t="s">
        <v>213</v>
      </c>
      <c r="M53" s="24"/>
    </row>
    <row r="54" spans="1:14" customHeight="1" ht="25.5">
      <c r="A54" s="95">
        <v>8</v>
      </c>
      <c r="B54" s="95" t="s">
        <v>214</v>
      </c>
      <c r="C54" s="81">
        <v>2</v>
      </c>
      <c r="D54" s="96" t="str">
        <f>IF(C54=5,"Jumlah fasilitas kredit = 4",IF(C54=4,"Jumlah fasilitas kredit = 3",IF(C54=3,"Jumlah fasilitas kredit = 2",IF(C54=2,"Jumlah fasilitas kredit = 1",IF(C54=1,"Jumlah fasilitas kredit = 0")))))</f>
        <v>Jumlah fasilitas kredit = 1</v>
      </c>
      <c r="E54" s="96" t="str">
        <f>IF(C54=5,"-",IF(C54=4,"Penambahan 1 jenis Fasilitas Kredit (KUR/KKPE/KUK/Kredit lainnya)(Identifikasi kekurangan akses kredit)",IF(C54=3,"Penambahan 2 jenis Fasilitas Kredit (KUR/KKPE/KUK/Kredit lainnya)(Identifikasi kekurangan akses kredit)",IF(C54=2,"Penambahan 3 jenis Fasilitas Kredit (KUR/KKPE/KUK/Kredit lainnya)(Identifikasi kekurangan akses kredit)",IF(C54=1,"Penambahan 4 jenis Fasilitas Kredit (KUR/KKPE/KUK/Kredit lainnya)")))))</f>
        <v>Penambahan 3 jenis Fasilitas Kredit (KUR/KKPE/KUK/Kredit lainnya)(Identifikasi kekurangan akses kredit)</v>
      </c>
      <c r="F54" s="82" t="str">
        <f>IF(C54=5,"0",IF(C54=4,"0.00555556",IF(C54=3,"0.01111111",IF(C54=2,"0.01666667",IF(C54=1,"0.02222222",IF(C54=0,"0.02777778"))))))</f>
        <v>0.01666667</v>
      </c>
      <c r="G54" s="82"/>
      <c r="H54" s="82"/>
      <c r="I54" s="82" t="s">
        <v>201</v>
      </c>
      <c r="J54" s="82" t="s">
        <v>215</v>
      </c>
      <c r="K54" s="82"/>
      <c r="L54" s="82" t="s">
        <v>216</v>
      </c>
      <c r="M54" s="24"/>
    </row>
    <row r="55" spans="1:14">
      <c r="A55" s="95">
        <v>9</v>
      </c>
      <c r="B55" s="95" t="s">
        <v>217</v>
      </c>
      <c r="C55" s="81">
        <v>5</v>
      </c>
      <c r="D55" s="96" t="str">
        <f>IF(C55=5,"Jumlah koperasi aktif dan BUMDESA &gt; 1",IF(C55=3,"Jumlah koperasi aktif dan BUMDESA = 1",IF(C55=1,"Jumlah koperasi aktif dan BUMDESA = 0")))</f>
        <v>Jumlah koperasi aktif dan BUMDESA &gt; 1</v>
      </c>
      <c r="E55" s="96" t="str">
        <f>IF(C55=5,"-",IF(C55=3,"Pembangunan 1 unit Koperasi / BUMDES (Identifikasi yang tidak ada di desa)",IF(C55=1,"Pembangunan Koperasi dan BUMDES = 0")))</f>
        <v>-</v>
      </c>
      <c r="F55" s="82" t="str">
        <f>IF(C55=5,"0",IF(C55=4,"0.00555556",IF(C55=3,"0.01111111",IF(C55=2,"0.01666667",IF(C55=1,"0.02222222",IF(C55=0,"0.02777778"))))))</f>
        <v>0</v>
      </c>
      <c r="G55" s="82"/>
      <c r="H55" s="82"/>
      <c r="I55" s="82" t="s">
        <v>201</v>
      </c>
      <c r="J55" s="82" t="s">
        <v>161</v>
      </c>
      <c r="K55" s="82" t="s">
        <v>132</v>
      </c>
      <c r="L55" s="82"/>
      <c r="M55" s="24"/>
    </row>
    <row r="56" spans="1:14">
      <c r="A56" s="95">
        <v>10</v>
      </c>
      <c r="B56" s="95" t="s">
        <v>218</v>
      </c>
      <c r="C56" s="81">
        <v>1</v>
      </c>
      <c r="D56" s="96" t="str">
        <f>IF(C56=5,"Transportasi Umum ada dengan trayek tetap",IF(C56=3,"Transportasi Umum ada tanpa trayek tetap",IF(C56=1,"Transportasi Umum tidak ada")))</f>
        <v>Transportasi Umum tidak ada</v>
      </c>
      <c r="E56" s="96" t="str">
        <f>IF(C56=5,"-",IF(C56=3,"Fasilitasi Transportasi Umum dengan Trayek Tetap",IF(C56=1,"Fasilitasi Pengadaan Transportasi Umum dengan Trayek Tetap")))</f>
        <v>Fasilitasi Pengadaan Transportasi Umum dengan Trayek Tetap</v>
      </c>
      <c r="F56" s="82" t="str">
        <f>IF(C56=5,"0",IF(C56=4,"0.00555556",IF(C56=3,"0.01111111",IF(C56=2,"0.01666667",IF(C56=1,"0.02222222",IF(C56=0,"0.02777778"))))))</f>
        <v>0.02222222</v>
      </c>
      <c r="G56" s="82"/>
      <c r="H56" s="82"/>
      <c r="I56" s="82" t="s">
        <v>219</v>
      </c>
      <c r="J56" s="82"/>
      <c r="K56" s="82"/>
      <c r="L56" s="82"/>
      <c r="M56" s="24"/>
    </row>
    <row r="57" spans="1:14">
      <c r="A57" s="95">
        <v>11</v>
      </c>
      <c r="B57" s="95" t="s">
        <v>220</v>
      </c>
      <c r="C57" s="81">
        <v>5</v>
      </c>
      <c r="D57" s="96" t="str">
        <f>IF(C57=5,"Jalan di Desa dilalui oleh kendaraan bermotor roda empat atau lebih Sepanjang Tahun ",IF(C57=3,"Jalan di Desa dilalui oleh kendaraan bermotor roda empat atau lebih Sepanjang tahun kecuali saat tertentu",IF(C57=1,"Jalan di Desa dilalui oleh kendaraan bermotor roda empat atau lebih Tidak dapat dilalui sepanjang tahun")))</f>
        <v>Jalan di Desa dilalui oleh kendaraan bermotor roda empat atau lebih Sepanjang Tahun </v>
      </c>
      <c r="E57" s="96" t="str">
        <f>IF(C57=5,"-",IF(C57=3,"Perbaikan dan Peningkatan Kualitas jalan desa",IF(C57=1,"Perbaikan dan Peningkatan Kualitas jalan desa untuk di lalui kendaraan roda 4")))</f>
        <v>-</v>
      </c>
      <c r="F57" s="82" t="str">
        <f>IF(C57=5,"0",IF(C57=4,"0.00555556",IF(C57=3,"0.01111111",IF(C57=2,"0.01666667",IF(C57=1,"0.02222222",IF(C57=0,"0.02777778"))))))</f>
        <v>0</v>
      </c>
      <c r="G57" s="82"/>
      <c r="H57" s="82"/>
      <c r="I57" s="82" t="s">
        <v>152</v>
      </c>
      <c r="J57" s="82" t="s">
        <v>146</v>
      </c>
      <c r="K57" s="82" t="s">
        <v>132</v>
      </c>
      <c r="L57" s="82"/>
    </row>
    <row r="58" spans="1:14">
      <c r="A58" s="95">
        <v>12</v>
      </c>
      <c r="B58" s="95" t="s">
        <v>221</v>
      </c>
      <c r="C58" s="81">
        <v>4</v>
      </c>
      <c r="D58" s="96" t="str">
        <f>IF(C58=5,"Jenis permukaan jalan desa Aspal atau beton",IF(C58=4,"Jenis permukaan jalan desa Diperkeras (kerikil, batu dan lain-lain)",IF(C58=3,"Jenis permukaan jalan Desa Tanah",IF(C58=1,"Jenis permukaan jalan desa lainnya"))))</f>
        <v>Jenis permukaan jalan desa Diperkeras (kerikil, batu dan lain-lain)</v>
      </c>
      <c r="E58" s="96" t="str">
        <f>IF(C58=5,"-",IF(C58=4,"Peningkatan Kualitas Jalan desa (Aspal/Beton)",IF(C58=3,"Peningkatan Kualitas Jalan desa (Aspal/Beton)",IF(C58=1,"Peningkatan Kualitas Jalan desa (Aspal/Beton)"))))</f>
        <v>Peningkatan Kualitas Jalan desa (Aspal/Beton)</v>
      </c>
      <c r="F58" s="82" t="str">
        <f>IF(C58=5,"0",IF(C58=4,"0.00555556",IF(C58=3,"0.01111111",IF(C58=2,"0.01666667",IF(C58=1,"0.02222222",IF(C58=0,"0.02777778"))))))</f>
        <v>0.00555556</v>
      </c>
      <c r="G58" s="82"/>
      <c r="H58" s="82"/>
      <c r="I58" s="82" t="s">
        <v>152</v>
      </c>
      <c r="J58" s="82" t="s">
        <v>146</v>
      </c>
      <c r="K58" s="82" t="s">
        <v>132</v>
      </c>
      <c r="L58" s="82"/>
    </row>
    <row r="59" spans="1:14">
      <c r="A59" s="95"/>
      <c r="B59" s="84" t="s">
        <v>222</v>
      </c>
      <c r="C59" s="83">
        <v>0.55</v>
      </c>
      <c r="D59" s="111"/>
      <c r="E59" s="112"/>
      <c r="F59" s="112"/>
      <c r="G59" s="112"/>
      <c r="H59" s="112"/>
      <c r="I59" s="112"/>
      <c r="J59" s="112"/>
      <c r="K59" s="112"/>
      <c r="L59" s="113"/>
    </row>
    <row r="60" spans="1:14" customHeight="1" ht="25.5">
      <c r="A60" s="95">
        <v>1</v>
      </c>
      <c r="B60" s="95" t="s">
        <v>223</v>
      </c>
      <c r="C60" s="81">
        <v>5</v>
      </c>
      <c r="D60" s="96" t="str">
        <f>IF(C60=5,"Pencemaran (air, udara, tanah, limbah disungai) di desa [jumlah pencemaran/4] = 0",IF(C60=4,"Pencemaran (air, udara, tanah, limbah disungai) di desa [jumlah pencemaran/4] = 0,25",IF(C60=3,"Pencemaran (air, udara, tanah, limbah disungai) di desa [jumlah pencemaran/4] = 0,5",IF(C60=2,"Pencemaran (air, udara, tanah, limbah disungai) di desa [jumlah pencemaran/4] = 0,75",IF(C60=0,"Pencemaran (air, udara, tanah, limbah disungai) di desa [jumlah pencemaran/4] = 1")))))</f>
        <v>Pencemaran (air, udara, tanah, limbah disungai) di desa [jumlah pencemaran/4] = 0</v>
      </c>
      <c r="E60" s="96" t="str">
        <f>IF(C60=5,"-",IF(C60=4,"Identifikasi dan Penanganan 1 Jenis Pencemaran (air, udara, tanah, limbah disungai) di desa",IF(C60=3,"Identifikasi dan Penanganan 2 Jenis Pencemaran (air, udara, tanah, limbah disungai) di desa",IF(C60=2,"Identifikasi dan Penanganan 3 Jenis Pencemaran (air, udara, tanah, limbah disungai) di desa",IF(C60=0,"Identifikasi dan Penanganan 4 Jenis Pencemaran (air, udara, tanah, limbah disungai) di desa")))))</f>
        <v>-</v>
      </c>
      <c r="F60" s="82" t="str">
        <f>IF(C60=5,"0",IF(C60=4,"0.02222222",IF(C60=3,"0.04444444",IF(C60=2,"0.06666667",IF(C60=1,"0.08888889",IF(C60=0,"0.11111111"))))))</f>
        <v>0</v>
      </c>
      <c r="G60" s="82"/>
      <c r="H60" s="82" t="s">
        <v>193</v>
      </c>
      <c r="I60" s="82" t="s">
        <v>224</v>
      </c>
      <c r="J60" s="82"/>
      <c r="K60" s="82"/>
      <c r="L60" s="82"/>
    </row>
    <row r="61" spans="1:14" customHeight="1" ht="25.5">
      <c r="A61" s="95">
        <v>2</v>
      </c>
      <c r="B61" s="95" t="s">
        <v>225</v>
      </c>
      <c r="C61" s="81">
        <v>5</v>
      </c>
      <c r="D61" s="96" t="str">
        <f>IF(C61=5,"Jenis bencana (longsor, banjir, kebakaran hutan) jenis bencana di desa = 0",IF(C61=4,"Jenis bencana (longsor, banjir, kebakaran hutan) jenis bencana di desa = 1",IF(C61=3,"Jenis bencana (longsor, banjir, kebakaran hutan) jenis bencana di desa = 2",IF(C61=0,"Jenis bencana (longsor, banjir, kebakaran hutan) jenis bencana di desa = 0"))))</f>
        <v>Jenis bencana (longsor, banjir, kebakaran hutan) jenis bencana di desa = 0</v>
      </c>
      <c r="E61" s="96" t="str">
        <f>IF(C61=5,"-",IF(C61=4,"Identifikasi 1 Jenis bencana (longsor, banjir, kebakaran hutan) untuk penanganan pencegahan",IF(C61=3,"Identifikasi 2 Jenis bencana (longsor, banjir, kebakaran hutan) untuk penanganan pencegahan",IF(C61=0,"Identifikasi 3 Jenis bencana (longsor, banjir, kebakaran hutan) untuk penanganan pencegahan"))))</f>
        <v>-</v>
      </c>
      <c r="F61" s="82" t="str">
        <f>IF(C61=5,"0",IF(C61=4,"0.02222222",IF(C61=3,"0.04444444",IF(C61=2,"0.06666667",IF(C61=1,"0.08888889",IF(C61=0,"0.11111111"))))))</f>
        <v>0</v>
      </c>
      <c r="G61" s="82"/>
      <c r="H61" s="82" t="s">
        <v>226</v>
      </c>
      <c r="I61" s="82" t="s">
        <v>227</v>
      </c>
      <c r="J61" s="82"/>
      <c r="K61" s="82"/>
      <c r="L61" s="82"/>
    </row>
    <row r="62" spans="1:14" customHeight="1" ht="25.5">
      <c r="A62" s="95">
        <v>3</v>
      </c>
      <c r="B62" s="95" t="s">
        <v>228</v>
      </c>
      <c r="C62" s="81">
        <v>3</v>
      </c>
      <c r="D62" s="96" t="str">
        <f>IF(C62=5,"Fasilitas mitigasi/tanggap bencana (peringatan dini bencana alam, peringatan dini tsunami, perlengkapan keselamatan, jalur evakuasi) jumlah fasilitas mitigasi / tanggap bencana  = 3",IF(C62=4,"Fasilitas mitigasi/tanggap bencana (peringatan dini bencana alam, peringatan dini tsunami, perlengkapan keselamatan, jalur evakuasi) jumlah fasilitas mitigasi / tanggap bencana = 2",IF(C62=3,"Fasilitas mitigasi/tanggap bencana (peringatan dini bencana alam, peringatan dini tsunami, perlengkapan keselamatan, jalur evakuasi) jumlah fasilitas mitigasi / tanggap bencana = 1",IF(C62=0,"Fasilitas mitigasi/tanggap bencana (peringatan dini bencana alam, peringatan dini tsunami, perlengkapan keselamatan, jalur evakuasi) jumlah fasilitas mitigasi / tanggap bencana = 0"))))</f>
        <v>Fasilitas mitigasi/tanggap bencana (peringatan dini bencana alam, peringatan dini tsunami, perlengkapan keselamatan, jalur evakuasi) jumlah fasilitas mitigasi / tanggap bencana = 1</v>
      </c>
      <c r="E62" s="96" t="str">
        <f>IF(C62=5,"-",IF(C62=4,"Pembangunan/Pengadaan 1 Fasilitas Mitigasi Bencana Sesuai karakteristik wilayah (Kebutuhan sesuai hasil identifikasi kerawanan/potensi bencana)",IF(C62=3,"Pembangunan/Pengadaan 2 Fasilitas Mitigasi Bencana Sesuai karakteristik wilayah (Kebutuhan sesuai hasil identifikasi kerawanan/potensi bencana)",IF(C62=0,"Pembangunan/Pengadaan 3 Fasilitas Mitigasi Bencana Sesuai karakteristik wilayah (Kebutuhan sesuai hasil identifikasi kerawanan/potensi bencana)"))))</f>
        <v>Pembangunan/Pengadaan 2 Fasilitas Mitigasi Bencana Sesuai karakteristik wilayah (Kebutuhan sesuai hasil identifikasi kerawanan/potensi bencana)</v>
      </c>
      <c r="F62" s="82" t="str">
        <f>IF(C62=5,"0",IF(C62=4,"0.02222222",IF(C62=3,"0.04444444",IF(C62=2,"0.06666667",IF(C62=1,"0.08888889",IF(C62=0,"0.11111111"))))))</f>
        <v>0.04444444</v>
      </c>
      <c r="G62" s="82" t="s">
        <v>229</v>
      </c>
      <c r="H62" s="82" t="s">
        <v>230</v>
      </c>
      <c r="I62" s="82" t="s">
        <v>231</v>
      </c>
      <c r="J62" s="82" t="s">
        <v>146</v>
      </c>
      <c r="K62" s="82" t="s">
        <v>132</v>
      </c>
      <c r="L62" s="82"/>
    </row>
    <row r="63" spans="1:14">
      <c r="A63" s="95"/>
      <c r="B63" s="84" t="s">
        <v>232</v>
      </c>
      <c r="C63" s="83">
        <v>0.86666666666667</v>
      </c>
      <c r="D63" s="111"/>
      <c r="E63" s="112"/>
      <c r="F63" s="112"/>
      <c r="G63" s="112"/>
      <c r="H63" s="112"/>
      <c r="I63" s="112"/>
      <c r="J63" s="112"/>
      <c r="K63" s="112"/>
      <c r="L63" s="113"/>
    </row>
    <row r="64" spans="1:14">
      <c r="A64" s="95"/>
      <c r="B64" s="84" t="s">
        <v>233</v>
      </c>
      <c r="C64" s="83">
        <v>0.75793650793651</v>
      </c>
      <c r="D64" s="97"/>
      <c r="E64" s="98"/>
      <c r="F64" s="98"/>
      <c r="G64" s="99"/>
      <c r="H64" s="99"/>
      <c r="I64" s="99"/>
      <c r="J64" s="99"/>
      <c r="K64" s="99"/>
      <c r="L64" s="99"/>
    </row>
    <row r="65" spans="1:14">
      <c r="A65" s="95"/>
      <c r="B65" s="84" t="s">
        <v>234</v>
      </c>
      <c r="C65" s="94" t="s">
        <v>235</v>
      </c>
      <c r="D65" s="97"/>
      <c r="E65" s="98"/>
      <c r="F65" s="98"/>
      <c r="G65" s="99"/>
      <c r="H65" s="99"/>
      <c r="I65" s="99"/>
      <c r="J65" s="99"/>
      <c r="K65" s="99"/>
      <c r="L65" s="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3:L63"/>
    <mergeCell ref="A1:L1"/>
    <mergeCell ref="F2:G2"/>
    <mergeCell ref="F3:G3"/>
    <mergeCell ref="F4:G4"/>
    <mergeCell ref="F5:G5"/>
    <mergeCell ref="F6:G6"/>
    <mergeCell ref="C2:D2"/>
    <mergeCell ref="A8:L8"/>
    <mergeCell ref="A9:A10"/>
    <mergeCell ref="B9:B10"/>
    <mergeCell ref="C9:C10"/>
    <mergeCell ref="D9:D10"/>
    <mergeCell ref="E9:E10"/>
    <mergeCell ref="F9:F10"/>
    <mergeCell ref="G9:L9"/>
    <mergeCell ref="C3:D3"/>
    <mergeCell ref="C4:D4"/>
    <mergeCell ref="C5:D5"/>
    <mergeCell ref="D46:L46"/>
    <mergeCell ref="D59:L59"/>
  </mergeCells>
  <printOptions gridLines="false" gridLinesSet="true" horizontalCentered="true"/>
  <pageMargins left="0" right="0" top="0.42" bottom="0.75" header="0.3" footer="0.3"/>
  <pageSetup paperSize="9" orientation="landscape" scale="44" fitToHeight="1" fitToWidth="1" pageOrder="downThenOver" r:id="rId1"/>
  <headerFooter differentOddEven="false" differentFirst="false" scaleWithDoc="true" alignWithMargins="true">
    <oddHeader>&amp;L     dicetak melalui aplikasi idm.kemendesa.go.id</oddHeader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N640"/>
  <sheetViews>
    <sheetView tabSelected="0" workbookViewId="0" zoomScale="120" view="pageLayout" showGridLines="false" showRowColHeaders="1">
      <selection activeCell="A2" sqref="A2:K2"/>
    </sheetView>
  </sheetViews>
  <sheetFormatPr defaultRowHeight="14.4" outlineLevelRow="0" outlineLevelCol="0"/>
  <cols>
    <col min="1" max="1" width="3.42578125" customWidth="true" style="12"/>
    <col min="2" max="2" width="26.85546875" customWidth="true" style="0"/>
    <col min="3" max="3" width="4.85546875" customWidth="true" style="0"/>
    <col min="4" max="4" width="1.85546875" customWidth="true" style="0"/>
    <col min="5" max="5" width="21" customWidth="true" style="0"/>
    <col min="6" max="6" width="30.28515625" customWidth="true" style="0"/>
    <col min="7" max="7" width="14.5703125" customWidth="true" style="0"/>
    <col min="8" max="8" width="9.28515625" customWidth="true" style="0"/>
    <col min="9" max="9" width="12.7109375" customWidth="true" style="0"/>
    <col min="10" max="10" width="7.140625" customWidth="true" style="0"/>
    <col min="11" max="11" width="11.140625" customWidth="true" style="0"/>
  </cols>
  <sheetData>
    <row r="1" spans="1:14">
      <c r="A1" s="34"/>
      <c r="J1" s="128"/>
      <c r="K1" s="128"/>
    </row>
    <row r="2" spans="1:14" customHeight="1" ht="37.15">
      <c r="A2" s="166" t="s">
        <v>236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4">
      <c r="A3" s="136" t="s">
        <v>237</v>
      </c>
      <c r="B3" s="136"/>
      <c r="C3" s="20" t="s">
        <v>2</v>
      </c>
      <c r="D3" s="69" t="s">
        <v>9</v>
      </c>
      <c r="E3" s="69"/>
      <c r="F3" s="7"/>
      <c r="G3" s="7"/>
      <c r="H3" s="7"/>
      <c r="I3" s="7"/>
      <c r="J3" s="7"/>
      <c r="K3" s="7"/>
    </row>
    <row r="4" spans="1:14">
      <c r="A4" s="136" t="s">
        <v>238</v>
      </c>
      <c r="B4" s="136"/>
      <c r="C4" s="20" t="s">
        <v>2</v>
      </c>
      <c r="D4" s="134" t="s">
        <v>7</v>
      </c>
      <c r="E4" s="134"/>
      <c r="F4" s="7"/>
      <c r="G4" s="7"/>
      <c r="H4" s="7"/>
      <c r="I4" s="7"/>
      <c r="J4" s="7"/>
      <c r="K4" s="7"/>
    </row>
    <row r="5" spans="1:14">
      <c r="A5" s="136" t="s">
        <v>239</v>
      </c>
      <c r="B5" s="136"/>
      <c r="C5" s="20" t="s">
        <v>2</v>
      </c>
      <c r="D5" s="134" t="s">
        <v>5</v>
      </c>
      <c r="E5" s="134"/>
      <c r="F5" s="7"/>
      <c r="G5" s="7"/>
      <c r="H5" s="7"/>
      <c r="I5" s="7"/>
      <c r="J5" s="7"/>
      <c r="K5" s="7"/>
    </row>
    <row r="6" spans="1:14">
      <c r="A6" s="136" t="s">
        <v>131</v>
      </c>
      <c r="B6" s="136"/>
      <c r="C6" s="20" t="s">
        <v>2</v>
      </c>
      <c r="D6" s="135" t="s">
        <v>3</v>
      </c>
      <c r="E6" s="135"/>
      <c r="F6" s="7"/>
      <c r="G6" s="7"/>
      <c r="H6" s="7"/>
      <c r="I6" s="7"/>
      <c r="J6" s="7"/>
      <c r="K6" s="7"/>
    </row>
    <row r="7" spans="1:14">
      <c r="A7" s="130" t="s">
        <v>240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4" customHeight="1" ht="30" s="3" customFormat="1">
      <c r="A8" s="129" t="s">
        <v>241</v>
      </c>
      <c r="B8" s="129"/>
      <c r="C8" s="129"/>
      <c r="D8" s="129"/>
      <c r="E8" s="137" t="s">
        <v>242</v>
      </c>
      <c r="F8" s="129" t="s">
        <v>243</v>
      </c>
      <c r="G8" s="129"/>
      <c r="H8" s="129" t="s">
        <v>244</v>
      </c>
      <c r="I8" s="129"/>
      <c r="J8" s="129"/>
      <c r="K8" s="129"/>
    </row>
    <row r="9" spans="1:14" customHeight="1" ht="43.15" s="14" customFormat="1">
      <c r="A9" s="129"/>
      <c r="B9" s="129"/>
      <c r="C9" s="129"/>
      <c r="D9" s="129"/>
      <c r="E9" s="137"/>
      <c r="F9" s="37" t="s">
        <v>245</v>
      </c>
      <c r="G9" s="37" t="s">
        <v>246</v>
      </c>
      <c r="H9" s="137" t="s">
        <v>245</v>
      </c>
      <c r="I9" s="137"/>
      <c r="J9" s="137" t="s">
        <v>247</v>
      </c>
      <c r="K9" s="137"/>
    </row>
    <row r="10" spans="1:14">
      <c r="A10" s="138" t="s">
        <v>248</v>
      </c>
      <c r="B10" s="138"/>
      <c r="C10" s="138"/>
      <c r="D10" s="138"/>
      <c r="E10" s="73">
        <v>248</v>
      </c>
      <c r="F10" s="73">
        <v>31</v>
      </c>
      <c r="G10" s="73">
        <v>4</v>
      </c>
      <c r="H10" s="133">
        <v>217</v>
      </c>
      <c r="I10" s="133"/>
      <c r="J10" s="133">
        <v>6</v>
      </c>
      <c r="K10" s="133"/>
    </row>
    <row r="11" spans="1:14">
      <c r="A11" s="16"/>
      <c r="B11" s="16"/>
      <c r="C11" s="16"/>
      <c r="D11" s="16"/>
      <c r="E11" s="1"/>
      <c r="F11" s="1"/>
      <c r="G11" s="1"/>
      <c r="H11" s="16"/>
      <c r="I11" s="16"/>
      <c r="J11" s="16"/>
    </row>
    <row r="12" spans="1:14">
      <c r="A12" s="131" t="s">
        <v>249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4" customHeight="1" ht="45" s="12" customFormat="1">
      <c r="A13" s="164" t="s">
        <v>241</v>
      </c>
      <c r="B13" s="164"/>
      <c r="C13" s="164"/>
      <c r="D13" s="164"/>
      <c r="E13" s="44" t="s">
        <v>250</v>
      </c>
      <c r="F13" s="48" t="s">
        <v>251</v>
      </c>
      <c r="G13" s="165" t="s">
        <v>252</v>
      </c>
      <c r="H13" s="165"/>
      <c r="I13" s="132" t="s">
        <v>253</v>
      </c>
      <c r="J13" s="132"/>
      <c r="K13" s="132"/>
    </row>
    <row r="14" spans="1:14">
      <c r="A14" s="139" t="s">
        <v>248</v>
      </c>
      <c r="B14" s="139"/>
      <c r="C14" s="139"/>
      <c r="D14" s="139"/>
      <c r="E14" s="73">
        <v>217</v>
      </c>
      <c r="F14" s="73">
        <v>209</v>
      </c>
      <c r="G14" s="133">
        <v>0</v>
      </c>
      <c r="H14" s="133"/>
      <c r="I14" s="133">
        <v>8</v>
      </c>
      <c r="J14" s="133"/>
      <c r="K14" s="133"/>
    </row>
    <row r="15" spans="1:14">
      <c r="A15" s="16"/>
      <c r="B15" s="16"/>
      <c r="C15" s="16"/>
      <c r="D15" s="16"/>
      <c r="E15" s="1"/>
      <c r="F15" s="1"/>
      <c r="G15" s="1"/>
      <c r="H15" s="1"/>
      <c r="I15" s="1"/>
    </row>
    <row r="16" spans="1:14">
      <c r="A16" s="143" t="s">
        <v>254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</row>
    <row r="17" spans="1:14">
      <c r="A17" s="168" t="s">
        <v>241</v>
      </c>
      <c r="B17" s="168"/>
      <c r="C17" s="169" t="s">
        <v>255</v>
      </c>
      <c r="D17" s="170"/>
      <c r="E17" s="170"/>
      <c r="F17" s="170"/>
      <c r="G17" s="171"/>
      <c r="H17" s="173" t="s">
        <v>248</v>
      </c>
      <c r="I17" s="174"/>
      <c r="J17" s="174"/>
      <c r="K17" s="28" t="s">
        <v>256</v>
      </c>
      <c r="N17" s="7"/>
    </row>
    <row r="18" spans="1:14">
      <c r="A18" s="140" t="s">
        <v>243</v>
      </c>
      <c r="B18" s="140"/>
      <c r="C18" s="15">
        <v>1</v>
      </c>
      <c r="D18" s="163" t="s">
        <v>257</v>
      </c>
      <c r="E18" s="163"/>
      <c r="F18" s="163"/>
      <c r="G18" s="163"/>
      <c r="H18" s="126">
        <v>31</v>
      </c>
      <c r="I18" s="127"/>
      <c r="J18" s="127"/>
      <c r="K18" s="31">
        <f>H18/$F$10</f>
        <v>1</v>
      </c>
    </row>
    <row r="19" spans="1:14">
      <c r="A19" s="140"/>
      <c r="B19" s="140"/>
      <c r="C19" s="15">
        <v>2</v>
      </c>
      <c r="D19" s="163" t="s">
        <v>258</v>
      </c>
      <c r="E19" s="163"/>
      <c r="F19" s="163"/>
      <c r="G19" s="163"/>
      <c r="H19" s="126">
        <v>29</v>
      </c>
      <c r="I19" s="127"/>
      <c r="J19" s="127"/>
      <c r="K19" s="31">
        <f>H19/$F$10</f>
        <v>0.93548387096774</v>
      </c>
    </row>
    <row r="20" spans="1:14">
      <c r="A20" s="140"/>
      <c r="B20" s="140"/>
      <c r="C20" s="15">
        <v>3</v>
      </c>
      <c r="D20" s="163" t="s">
        <v>259</v>
      </c>
      <c r="E20" s="163"/>
      <c r="F20" s="163"/>
      <c r="G20" s="163"/>
      <c r="H20" s="126">
        <v>6</v>
      </c>
      <c r="I20" s="127"/>
      <c r="J20" s="127"/>
      <c r="K20" s="31">
        <f>H20/$F$10</f>
        <v>0.19354838709677</v>
      </c>
    </row>
    <row r="21" spans="1:14">
      <c r="A21" s="140"/>
      <c r="B21" s="140"/>
      <c r="C21" s="15">
        <v>4</v>
      </c>
      <c r="D21" s="163" t="s">
        <v>260</v>
      </c>
      <c r="E21" s="163"/>
      <c r="F21" s="163"/>
      <c r="G21" s="163"/>
      <c r="H21" s="126">
        <v>15</v>
      </c>
      <c r="I21" s="127"/>
      <c r="J21" s="127"/>
      <c r="K21" s="31">
        <f>H21/$F$10</f>
        <v>0.48387096774194</v>
      </c>
    </row>
    <row r="22" spans="1:14">
      <c r="A22" s="140"/>
      <c r="B22" s="140"/>
      <c r="C22" s="15">
        <v>5</v>
      </c>
      <c r="D22" s="163" t="s">
        <v>261</v>
      </c>
      <c r="E22" s="163"/>
      <c r="F22" s="163"/>
      <c r="G22" s="163"/>
      <c r="H22" s="126">
        <v>4</v>
      </c>
      <c r="I22" s="127"/>
      <c r="J22" s="127"/>
      <c r="K22" s="31">
        <f>H22/$F$10</f>
        <v>0.12903225806452</v>
      </c>
    </row>
    <row r="23" spans="1:14">
      <c r="A23" s="140"/>
      <c r="B23" s="140"/>
      <c r="C23" s="15">
        <v>6</v>
      </c>
      <c r="D23" s="163" t="s">
        <v>262</v>
      </c>
      <c r="E23" s="163"/>
      <c r="F23" s="163"/>
      <c r="G23" s="163"/>
      <c r="H23" s="126">
        <v>31</v>
      </c>
      <c r="I23" s="127"/>
      <c r="J23" s="127"/>
      <c r="K23" s="31">
        <f>H23/$F$10</f>
        <v>1</v>
      </c>
    </row>
    <row r="24" spans="1:14">
      <c r="A24" s="140"/>
      <c r="B24" s="140"/>
      <c r="C24" s="15">
        <v>7</v>
      </c>
      <c r="D24" s="163" t="s">
        <v>263</v>
      </c>
      <c r="E24" s="163"/>
      <c r="F24" s="163"/>
      <c r="G24" s="163"/>
      <c r="H24" s="126">
        <v>31</v>
      </c>
      <c r="I24" s="127"/>
      <c r="J24" s="127"/>
      <c r="K24" s="31">
        <f>H24/$F$10</f>
        <v>1</v>
      </c>
    </row>
    <row r="25" spans="1:14">
      <c r="A25" s="140"/>
      <c r="B25" s="140"/>
      <c r="C25" s="15">
        <v>8</v>
      </c>
      <c r="D25" s="163" t="s">
        <v>264</v>
      </c>
      <c r="E25" s="163"/>
      <c r="F25" s="163"/>
      <c r="G25" s="163"/>
      <c r="H25" s="126">
        <v>31</v>
      </c>
      <c r="I25" s="127"/>
      <c r="J25" s="127"/>
      <c r="K25" s="31">
        <f>H25/$F$10</f>
        <v>1</v>
      </c>
    </row>
    <row r="26" spans="1:14" customHeight="1" ht="15">
      <c r="A26" s="142" t="s">
        <v>265</v>
      </c>
      <c r="B26" s="142"/>
      <c r="C26" s="15">
        <v>1</v>
      </c>
      <c r="D26" s="163" t="s">
        <v>266</v>
      </c>
      <c r="E26" s="163"/>
      <c r="F26" s="163"/>
      <c r="G26" s="163"/>
      <c r="H26" s="126">
        <v>14</v>
      </c>
      <c r="I26" s="127"/>
      <c r="J26" s="127"/>
      <c r="K26" s="31">
        <f>H26/$H$10</f>
        <v>0.064516129032258</v>
      </c>
    </row>
    <row r="27" spans="1:14">
      <c r="A27" s="142"/>
      <c r="B27" s="142"/>
      <c r="C27" s="15">
        <v>2</v>
      </c>
      <c r="D27" s="163" t="s">
        <v>267</v>
      </c>
      <c r="E27" s="163"/>
      <c r="F27" s="163"/>
      <c r="G27" s="163"/>
      <c r="H27" s="126">
        <v>54</v>
      </c>
      <c r="I27" s="127"/>
      <c r="J27" s="127"/>
      <c r="K27" s="31">
        <f>H27/$H$10</f>
        <v>0.24884792626728</v>
      </c>
    </row>
    <row r="28" spans="1:14">
      <c r="A28" s="142"/>
      <c r="B28" s="142"/>
      <c r="C28" s="15">
        <v>3</v>
      </c>
      <c r="D28" s="163" t="s">
        <v>268</v>
      </c>
      <c r="E28" s="163"/>
      <c r="F28" s="163"/>
      <c r="G28" s="163"/>
      <c r="H28" s="126">
        <v>70</v>
      </c>
      <c r="I28" s="127"/>
      <c r="J28" s="127"/>
      <c r="K28" s="31">
        <f>H28/$H$10</f>
        <v>0.32258064516129</v>
      </c>
    </row>
    <row r="29" spans="1:14" customHeight="1" ht="30">
      <c r="A29" s="142"/>
      <c r="B29" s="142"/>
      <c r="C29" s="139">
        <v>4</v>
      </c>
      <c r="D29" s="176" t="s">
        <v>269</v>
      </c>
      <c r="E29" s="176"/>
      <c r="F29" s="176"/>
      <c r="G29" s="176"/>
      <c r="H29" s="74" t="s">
        <v>270</v>
      </c>
      <c r="I29" s="74" t="s">
        <v>271</v>
      </c>
      <c r="J29" s="75" t="s">
        <v>272</v>
      </c>
      <c r="K29" s="78"/>
    </row>
    <row r="30" spans="1:14">
      <c r="A30" s="142"/>
      <c r="B30" s="142"/>
      <c r="C30" s="139"/>
      <c r="D30" s="176"/>
      <c r="E30" s="176"/>
      <c r="F30" s="176"/>
      <c r="G30" s="176"/>
      <c r="H30" s="76">
        <v>12</v>
      </c>
      <c r="I30" s="76">
        <v>18</v>
      </c>
      <c r="J30" s="77">
        <f>SUM(H30,I30)</f>
        <v>30</v>
      </c>
      <c r="K30" s="31">
        <f>H30/J30</f>
        <v>0.4</v>
      </c>
    </row>
    <row r="31" spans="1:14">
      <c r="A31" s="142"/>
      <c r="B31" s="142"/>
      <c r="C31" s="15">
        <v>5</v>
      </c>
      <c r="D31" s="163" t="s">
        <v>273</v>
      </c>
      <c r="E31" s="163"/>
      <c r="F31" s="163"/>
      <c r="G31" s="163"/>
      <c r="H31" s="126">
        <v>6</v>
      </c>
      <c r="I31" s="127"/>
      <c r="J31" s="127"/>
      <c r="K31" s="31">
        <f>H31/$H$10</f>
        <v>0.027649769585253</v>
      </c>
    </row>
    <row r="32" spans="1:14">
      <c r="A32" s="142"/>
      <c r="B32" s="142"/>
      <c r="C32" s="15">
        <v>6</v>
      </c>
      <c r="D32" s="175" t="s">
        <v>274</v>
      </c>
      <c r="E32" s="175"/>
      <c r="F32" s="175"/>
      <c r="G32" s="175"/>
      <c r="H32" s="126">
        <v>42</v>
      </c>
      <c r="I32" s="127"/>
      <c r="J32" s="127"/>
      <c r="K32" s="31">
        <f>H32/$H$10</f>
        <v>0.19354838709677</v>
      </c>
    </row>
    <row r="33" spans="1:14">
      <c r="A33" s="142"/>
      <c r="B33" s="142"/>
      <c r="C33" s="15">
        <v>7</v>
      </c>
      <c r="D33" s="175" t="s">
        <v>275</v>
      </c>
      <c r="E33" s="175"/>
      <c r="F33" s="175"/>
      <c r="G33" s="175"/>
      <c r="H33" s="126">
        <v>77</v>
      </c>
      <c r="I33" s="127"/>
      <c r="J33" s="127"/>
      <c r="K33" s="31">
        <f>H33/$H$10</f>
        <v>0.35483870967742</v>
      </c>
    </row>
    <row r="34" spans="1:14">
      <c r="A34" s="142"/>
      <c r="B34" s="142"/>
      <c r="C34" s="15">
        <v>8</v>
      </c>
      <c r="D34" s="163" t="s">
        <v>276</v>
      </c>
      <c r="E34" s="163"/>
      <c r="F34" s="163"/>
      <c r="G34" s="163"/>
      <c r="H34" s="126">
        <v>37</v>
      </c>
      <c r="I34" s="127"/>
      <c r="J34" s="127"/>
      <c r="K34" s="31">
        <f>H34/$H$10</f>
        <v>0.1705069124424</v>
      </c>
    </row>
    <row r="35" spans="1:14">
      <c r="A35" s="142"/>
      <c r="B35" s="142"/>
      <c r="C35" s="15">
        <v>9</v>
      </c>
      <c r="D35" s="163" t="s">
        <v>277</v>
      </c>
      <c r="E35" s="163"/>
      <c r="F35" s="163"/>
      <c r="G35" s="163"/>
      <c r="H35" s="126">
        <v>78</v>
      </c>
      <c r="I35" s="127"/>
      <c r="J35" s="127"/>
      <c r="K35" s="31">
        <f>H35/$H$10</f>
        <v>0.35944700460829</v>
      </c>
    </row>
    <row r="36" spans="1:14">
      <c r="A36" s="142"/>
      <c r="B36" s="142"/>
      <c r="C36" s="15">
        <v>10</v>
      </c>
      <c r="D36" s="163" t="s">
        <v>278</v>
      </c>
      <c r="E36" s="163"/>
      <c r="F36" s="163"/>
      <c r="G36" s="163"/>
      <c r="H36" s="126">
        <v>58</v>
      </c>
      <c r="I36" s="127"/>
      <c r="J36" s="127"/>
      <c r="K36" s="31">
        <f>H36/$H$10</f>
        <v>0.26728110599078</v>
      </c>
    </row>
    <row r="37" spans="1:14">
      <c r="A37" s="172" t="s">
        <v>279</v>
      </c>
      <c r="B37" s="172"/>
      <c r="C37" s="15">
        <v>1</v>
      </c>
      <c r="D37" s="163" t="s">
        <v>280</v>
      </c>
      <c r="E37" s="163"/>
      <c r="F37" s="163"/>
      <c r="G37" s="163"/>
      <c r="H37" s="133">
        <v>98</v>
      </c>
      <c r="I37" s="133"/>
      <c r="J37" s="133"/>
      <c r="K37" s="31">
        <v>0.69014084507042</v>
      </c>
    </row>
    <row r="38" spans="1:14">
      <c r="A38" s="17"/>
      <c r="B38" s="17"/>
      <c r="C38" s="18"/>
      <c r="D38" s="17"/>
      <c r="E38" s="17"/>
      <c r="F38" s="17"/>
      <c r="G38" s="17"/>
      <c r="H38" s="16"/>
      <c r="I38" s="16"/>
      <c r="J38" s="16"/>
      <c r="K38" s="1"/>
    </row>
    <row r="39" spans="1:14">
      <c r="A39" s="143" t="s">
        <v>281</v>
      </c>
      <c r="B39" s="144"/>
      <c r="C39" s="144"/>
      <c r="D39" s="144"/>
      <c r="E39" s="144"/>
      <c r="F39" s="144"/>
      <c r="G39" s="145"/>
    </row>
    <row r="40" spans="1:14" customHeight="1" ht="24">
      <c r="A40" s="154" t="s">
        <v>122</v>
      </c>
      <c r="B40" s="148" t="s">
        <v>241</v>
      </c>
      <c r="C40" s="149"/>
      <c r="D40" s="150"/>
      <c r="E40" s="146" t="s">
        <v>282</v>
      </c>
      <c r="F40" s="147"/>
      <c r="G40" s="159" t="s">
        <v>283</v>
      </c>
    </row>
    <row r="41" spans="1:14" customHeight="1" ht="35.25">
      <c r="A41" s="155"/>
      <c r="B41" s="151"/>
      <c r="C41" s="152"/>
      <c r="D41" s="153"/>
      <c r="E41" s="29" t="s">
        <v>284</v>
      </c>
      <c r="F41" s="30" t="s">
        <v>285</v>
      </c>
      <c r="G41" s="160"/>
    </row>
    <row r="42" spans="1:14">
      <c r="A42" s="15">
        <v>1</v>
      </c>
      <c r="B42" s="156" t="s">
        <v>243</v>
      </c>
      <c r="C42" s="157"/>
      <c r="D42" s="158"/>
      <c r="E42" s="73">
        <v>15</v>
      </c>
      <c r="F42" s="73">
        <v>31</v>
      </c>
      <c r="G42" s="31">
        <v>0.48387096774194</v>
      </c>
    </row>
    <row r="43" spans="1:14">
      <c r="A43" s="15">
        <v>2</v>
      </c>
      <c r="B43" s="156" t="s">
        <v>244</v>
      </c>
      <c r="C43" s="157"/>
      <c r="D43" s="158"/>
      <c r="E43" s="73">
        <v>14</v>
      </c>
      <c r="F43" s="73">
        <v>217</v>
      </c>
      <c r="G43" s="31">
        <v>0.064516129032258</v>
      </c>
    </row>
    <row r="44" spans="1:14">
      <c r="A44" s="16"/>
      <c r="B44" s="19"/>
      <c r="C44" s="19"/>
      <c r="D44" s="19"/>
      <c r="E44" s="1"/>
      <c r="F44" s="1"/>
      <c r="G44" s="1"/>
    </row>
    <row r="45" spans="1:14">
      <c r="A45" s="131" t="s">
        <v>286</v>
      </c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4" customHeight="1" ht="14.45">
      <c r="A46" s="162" t="s">
        <v>122</v>
      </c>
      <c r="B46" s="140" t="s">
        <v>287</v>
      </c>
      <c r="C46" s="140"/>
      <c r="D46" s="140"/>
      <c r="E46" s="140" t="s">
        <v>288</v>
      </c>
      <c r="F46" s="142" t="s">
        <v>289</v>
      </c>
      <c r="G46" s="142"/>
      <c r="H46" s="142"/>
      <c r="I46" s="142"/>
      <c r="J46" s="142"/>
    </row>
    <row r="47" spans="1:14" customHeight="1" ht="29.25" s="14" customFormat="1">
      <c r="A47" s="162"/>
      <c r="B47" s="140"/>
      <c r="C47" s="140"/>
      <c r="D47" s="140"/>
      <c r="E47" s="140"/>
      <c r="F47" s="142" t="s">
        <v>290</v>
      </c>
      <c r="G47" s="142"/>
      <c r="H47" s="35" t="s">
        <v>291</v>
      </c>
      <c r="I47" s="35" t="s">
        <v>292</v>
      </c>
      <c r="J47" s="35" t="s">
        <v>291</v>
      </c>
    </row>
    <row r="48" spans="1:14" s="46" customFormat="1">
      <c r="A48" s="44">
        <v>1</v>
      </c>
      <c r="B48" s="161" t="s">
        <v>293</v>
      </c>
      <c r="C48" s="161"/>
      <c r="D48" s="161"/>
      <c r="E48" s="45" t="s">
        <v>294</v>
      </c>
      <c r="F48" s="141" t="s">
        <v>295</v>
      </c>
      <c r="G48" s="141"/>
      <c r="H48" s="45"/>
      <c r="I48" s="45"/>
      <c r="J48" s="45"/>
    </row>
    <row r="49" spans="1:14" s="46" customFormat="1">
      <c r="A49" s="47">
        <v>2</v>
      </c>
      <c r="B49" s="161" t="s">
        <v>296</v>
      </c>
      <c r="C49" s="161"/>
      <c r="D49" s="161"/>
      <c r="E49" s="45" t="s">
        <v>294</v>
      </c>
      <c r="F49" s="141" t="s">
        <v>295</v>
      </c>
      <c r="G49" s="141"/>
      <c r="H49" s="45"/>
      <c r="I49" s="45"/>
      <c r="J49" s="45"/>
    </row>
    <row r="50" spans="1:14">
      <c r="A50" s="26"/>
    </row>
    <row r="51" spans="1:14">
      <c r="A51" s="131" t="s">
        <v>297</v>
      </c>
      <c r="B51" s="131"/>
      <c r="C51" s="131"/>
      <c r="D51" s="131"/>
      <c r="E51" s="131"/>
      <c r="F51" s="131"/>
      <c r="G51" s="131"/>
      <c r="H51" s="131"/>
      <c r="I51" s="131"/>
      <c r="J51" s="131"/>
    </row>
    <row r="52" spans="1:14" customHeight="1" ht="14.45">
      <c r="A52" s="162" t="s">
        <v>122</v>
      </c>
      <c r="B52" s="140" t="s">
        <v>287</v>
      </c>
      <c r="C52" s="140"/>
      <c r="D52" s="140"/>
      <c r="E52" s="140" t="s">
        <v>288</v>
      </c>
      <c r="F52" s="142" t="s">
        <v>289</v>
      </c>
      <c r="G52" s="142"/>
      <c r="H52" s="142"/>
      <c r="I52" s="142"/>
      <c r="J52" s="142"/>
    </row>
    <row r="53" spans="1:14" customHeight="1" ht="45">
      <c r="A53" s="162"/>
      <c r="B53" s="140"/>
      <c r="C53" s="140"/>
      <c r="D53" s="140"/>
      <c r="E53" s="140"/>
      <c r="F53" s="140" t="s">
        <v>290</v>
      </c>
      <c r="G53" s="140"/>
      <c r="H53" s="35" t="s">
        <v>291</v>
      </c>
      <c r="I53" s="35" t="s">
        <v>292</v>
      </c>
      <c r="J53" s="35" t="s">
        <v>291</v>
      </c>
    </row>
    <row r="54" spans="1:14" s="46" customFormat="1">
      <c r="A54" s="44">
        <v>1</v>
      </c>
      <c r="B54" s="161" t="s">
        <v>293</v>
      </c>
      <c r="C54" s="161"/>
      <c r="D54" s="161"/>
      <c r="E54" s="45" t="s">
        <v>294</v>
      </c>
      <c r="F54" s="141" t="s">
        <v>295</v>
      </c>
      <c r="G54" s="141"/>
      <c r="H54" s="45"/>
      <c r="I54" s="45"/>
      <c r="J54" s="45"/>
    </row>
    <row r="55" spans="1:14" s="46" customFormat="1">
      <c r="A55" s="47">
        <v>2</v>
      </c>
      <c r="B55" s="161" t="s">
        <v>296</v>
      </c>
      <c r="C55" s="161"/>
      <c r="D55" s="161"/>
      <c r="E55" s="45" t="s">
        <v>294</v>
      </c>
      <c r="F55" s="141" t="s">
        <v>295</v>
      </c>
      <c r="G55" s="141"/>
      <c r="H55" s="45"/>
      <c r="I55" s="45"/>
      <c r="J55" s="45"/>
    </row>
    <row r="487" spans="1:14">
      <c r="H487" t="s">
        <v>298</v>
      </c>
    </row>
    <row r="640" spans="1:14">
      <c r="H640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37:G37"/>
    <mergeCell ref="H37:J37"/>
    <mergeCell ref="H24:J24"/>
    <mergeCell ref="H22:J22"/>
    <mergeCell ref="H36:J36"/>
    <mergeCell ref="H27:J27"/>
    <mergeCell ref="H28:J28"/>
    <mergeCell ref="D29:G30"/>
    <mergeCell ref="D24:G24"/>
    <mergeCell ref="D25:G25"/>
    <mergeCell ref="D26:G26"/>
    <mergeCell ref="D27:G27"/>
    <mergeCell ref="D28:G28"/>
    <mergeCell ref="D23:G23"/>
    <mergeCell ref="H33:J33"/>
    <mergeCell ref="H34:J34"/>
    <mergeCell ref="A37:B37"/>
    <mergeCell ref="H17:J17"/>
    <mergeCell ref="H18:J18"/>
    <mergeCell ref="H19:J19"/>
    <mergeCell ref="H20:J20"/>
    <mergeCell ref="H21:J21"/>
    <mergeCell ref="D34:G34"/>
    <mergeCell ref="D35:G35"/>
    <mergeCell ref="D36:G36"/>
    <mergeCell ref="A26:B36"/>
    <mergeCell ref="D31:G31"/>
    <mergeCell ref="D32:G32"/>
    <mergeCell ref="D33:G33"/>
    <mergeCell ref="H35:J35"/>
    <mergeCell ref="H23:J23"/>
    <mergeCell ref="H25:J25"/>
    <mergeCell ref="A2:K2"/>
    <mergeCell ref="A3:B3"/>
    <mergeCell ref="A4:B4"/>
    <mergeCell ref="A5:B5"/>
    <mergeCell ref="H26:J26"/>
    <mergeCell ref="D21:G21"/>
    <mergeCell ref="D22:G22"/>
    <mergeCell ref="I14:K14"/>
    <mergeCell ref="A17:B17"/>
    <mergeCell ref="A18:B25"/>
    <mergeCell ref="C17:G17"/>
    <mergeCell ref="A16:K16"/>
    <mergeCell ref="J9:K9"/>
    <mergeCell ref="H9:I9"/>
    <mergeCell ref="H10:I10"/>
    <mergeCell ref="D18:G18"/>
    <mergeCell ref="D19:G19"/>
    <mergeCell ref="D20:G20"/>
    <mergeCell ref="F8:G8"/>
    <mergeCell ref="A13:D13"/>
    <mergeCell ref="A14:D14"/>
    <mergeCell ref="G13:H13"/>
    <mergeCell ref="G14:H14"/>
    <mergeCell ref="F55:G55"/>
    <mergeCell ref="F52:J52"/>
    <mergeCell ref="A51:J51"/>
    <mergeCell ref="F47:G47"/>
    <mergeCell ref="F48:G48"/>
    <mergeCell ref="F49:G49"/>
    <mergeCell ref="B54:D54"/>
    <mergeCell ref="B55:D55"/>
    <mergeCell ref="A52:A53"/>
    <mergeCell ref="B52:D53"/>
    <mergeCell ref="E52:E53"/>
    <mergeCell ref="A46:A47"/>
    <mergeCell ref="B49:D49"/>
    <mergeCell ref="B48:D48"/>
    <mergeCell ref="E46:E47"/>
    <mergeCell ref="B46:D47"/>
    <mergeCell ref="F53:G53"/>
    <mergeCell ref="F54:G54"/>
    <mergeCell ref="A45:J45"/>
    <mergeCell ref="F46:J46"/>
    <mergeCell ref="A39:G39"/>
    <mergeCell ref="E40:F40"/>
    <mergeCell ref="B40:D41"/>
    <mergeCell ref="A40:A41"/>
    <mergeCell ref="B42:D42"/>
    <mergeCell ref="B43:D43"/>
    <mergeCell ref="G40:G41"/>
    <mergeCell ref="H31:J31"/>
    <mergeCell ref="H32:J32"/>
    <mergeCell ref="J1:K1"/>
    <mergeCell ref="H8:K8"/>
    <mergeCell ref="A7:K7"/>
    <mergeCell ref="A12:K12"/>
    <mergeCell ref="I13:K13"/>
    <mergeCell ref="J10:K10"/>
    <mergeCell ref="D5:E5"/>
    <mergeCell ref="D4:E4"/>
    <mergeCell ref="D6:E6"/>
    <mergeCell ref="A6:B6"/>
    <mergeCell ref="A8:D9"/>
    <mergeCell ref="E8:E9"/>
    <mergeCell ref="A10:D10"/>
    <mergeCell ref="C29:C30"/>
  </mergeCells>
  <printOptions gridLines="false" gridLinesSet="true"/>
  <pageMargins left="0.27272727272727" right="0.18181818181818" top="0.55882352941176" bottom="0.18627450980392" header="0.3" footer="0.3"/>
  <pageSetup paperSize="9" orientation="landscape" scale="100" fitToHeight="1" fitToWidth="1" pageOrder="downThenOver" r:id="rId1"/>
  <headerFooter differentOddEven="false" differentFirst="false" scaleWithDoc="true" alignWithMargins="true">
    <oddHeader>&amp;Ldicetak melalui aplikasi idm.kemendesa.go.id</oddHeader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92D050"/>
    <outlinePr summaryBelow="1" summaryRight="1"/>
  </sheetPr>
  <dimension ref="A1:F18"/>
  <sheetViews>
    <sheetView tabSelected="0" workbookViewId="0" zoomScale="130" view="pageLayout" showGridLines="false" showRowColHeaders="0" topLeftCell="A7">
      <selection activeCell="C11" sqref="C11"/>
    </sheetView>
  </sheetViews>
  <sheetFormatPr defaultRowHeight="14.4" defaultColWidth="8.85546875" outlineLevelRow="0" outlineLevelCol="0"/>
  <cols>
    <col min="1" max="1" width="15" customWidth="true" style="0"/>
    <col min="2" max="2" width="31.140625" customWidth="true" style="34"/>
    <col min="3" max="3" width="22.42578125" customWidth="true" style="0"/>
    <col min="4" max="4" width="20.7109375" customWidth="true" style="0"/>
  </cols>
  <sheetData>
    <row r="1" spans="1:6">
      <c r="B1" s="40"/>
      <c r="C1" s="40"/>
      <c r="D1" s="41"/>
      <c r="F1" s="1"/>
    </row>
    <row r="2" spans="1:6" customHeight="1" ht="18.75">
      <c r="A2" s="177" t="s">
        <v>300</v>
      </c>
      <c r="B2" s="177"/>
      <c r="C2" s="177"/>
      <c r="D2" s="177"/>
    </row>
    <row r="3" spans="1:6">
      <c r="B3" s="6"/>
      <c r="C3" s="7"/>
      <c r="D3" s="7"/>
    </row>
    <row r="4" spans="1:6">
      <c r="A4" s="70" t="s">
        <v>301</v>
      </c>
      <c r="B4" s="79" t="s">
        <v>9</v>
      </c>
      <c r="C4" s="39"/>
      <c r="D4" s="39"/>
    </row>
    <row r="5" spans="1:6">
      <c r="A5" s="70" t="s">
        <v>302</v>
      </c>
      <c r="B5" s="79" t="s">
        <v>7</v>
      </c>
      <c r="C5" s="39"/>
      <c r="D5" s="39"/>
    </row>
    <row r="6" spans="1:6">
      <c r="A6" s="70" t="s">
        <v>303</v>
      </c>
      <c r="B6" s="79" t="s">
        <v>5</v>
      </c>
      <c r="C6" s="39"/>
      <c r="D6" s="39"/>
    </row>
    <row r="7" spans="1:6">
      <c r="A7" s="70" t="s">
        <v>304</v>
      </c>
      <c r="B7" s="79" t="s">
        <v>3</v>
      </c>
      <c r="C7" s="39"/>
      <c r="D7" s="39"/>
    </row>
    <row r="8" spans="1:6">
      <c r="B8" s="39"/>
      <c r="C8" s="36"/>
      <c r="D8" s="36"/>
    </row>
    <row r="9" spans="1:6">
      <c r="A9" s="180" t="s">
        <v>305</v>
      </c>
      <c r="B9" s="180"/>
      <c r="C9" s="43" t="s">
        <v>306</v>
      </c>
      <c r="D9" s="43" t="s">
        <v>307</v>
      </c>
    </row>
    <row r="10" spans="1:6">
      <c r="A10" s="181" t="s">
        <v>308</v>
      </c>
      <c r="B10" s="181"/>
      <c r="C10" s="71">
        <v>260670000</v>
      </c>
      <c r="D10" s="71">
        <v>64420000</v>
      </c>
    </row>
    <row r="11" spans="1:6">
      <c r="A11" s="178" t="s">
        <v>309</v>
      </c>
      <c r="B11" s="178"/>
      <c r="C11" s="71">
        <v>975962000</v>
      </c>
      <c r="D11" s="71">
        <v>961918000</v>
      </c>
    </row>
    <row r="12" spans="1:6">
      <c r="A12" s="178" t="s">
        <v>310</v>
      </c>
      <c r="B12" s="178"/>
      <c r="C12" s="71">
        <v>58661200</v>
      </c>
      <c r="D12" s="71">
        <v>55300000</v>
      </c>
    </row>
    <row r="13" spans="1:6">
      <c r="A13" s="178" t="s">
        <v>311</v>
      </c>
      <c r="B13" s="178"/>
      <c r="C13" s="71">
        <v>1027982640</v>
      </c>
      <c r="D13" s="71">
        <v>1045078800</v>
      </c>
    </row>
    <row r="14" spans="1:6">
      <c r="A14" s="178" t="s">
        <v>312</v>
      </c>
      <c r="B14" s="178"/>
      <c r="C14" s="71">
        <v>112779800</v>
      </c>
      <c r="D14" s="71">
        <v>50000000</v>
      </c>
    </row>
    <row r="15" spans="1:6">
      <c r="A15" s="178" t="s">
        <v>313</v>
      </c>
      <c r="B15" s="178"/>
      <c r="C15" s="71">
        <v>20000000</v>
      </c>
      <c r="D15" s="71">
        <v>50000000</v>
      </c>
    </row>
    <row r="16" spans="1:6">
      <c r="A16" s="178" t="s">
        <v>314</v>
      </c>
      <c r="B16" s="178"/>
      <c r="C16" s="71">
        <v>9434558</v>
      </c>
      <c r="D16" s="71">
        <v>9000000</v>
      </c>
    </row>
    <row r="17" spans="1:6">
      <c r="A17" s="179" t="s">
        <v>315</v>
      </c>
      <c r="B17" s="179"/>
      <c r="C17" s="72">
        <f>SUM(C10:C16)</f>
        <v>2465490198</v>
      </c>
      <c r="D17" s="72">
        <f>SUM(D10:D16)</f>
        <v>2235716800</v>
      </c>
    </row>
    <row r="18" spans="1:6">
      <c r="B18" s="3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2"/>
    <mergeCell ref="A14:B14"/>
    <mergeCell ref="A15:B15"/>
    <mergeCell ref="A16:B16"/>
    <mergeCell ref="A17:B17"/>
    <mergeCell ref="A9:B9"/>
    <mergeCell ref="A10:B10"/>
    <mergeCell ref="A11:B11"/>
    <mergeCell ref="A12:B12"/>
    <mergeCell ref="A13:B13"/>
  </mergeCells>
  <printOptions gridLines="false" gridLinesSet="true"/>
  <pageMargins left="0.7" right="0.7" top="0.48550724637681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>&amp;L&amp;9dicetak melalui aplikasi idm.kemendesa.go.id</oddHeader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OLAH_DATA_PERITEM</vt:lpstr>
      <vt:lpstr>RUMUSAN_POKOK</vt:lpstr>
      <vt:lpstr>LAPORAN_STUNTING</vt:lpstr>
      <vt:lpstr>SUMBER_PENDAPATAN_DESA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2017-09-05T09:45:55+07:00</dcterms:created>
  <dcterms:modified xsi:type="dcterms:W3CDTF">2022-03-18T23:31:08+07:00</dcterms:modified>
  <dc:title/>
  <dc:description/>
  <dc:subject/>
  <cp:keywords/>
  <cp:category/>
</cp:coreProperties>
</file>